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a6b8333c9f17f5ce/HOT-CUZ/2026 ÇALIŞMALARIM/10-Betonstar_st52_isleri/"/>
    </mc:Choice>
  </mc:AlternateContent>
  <xr:revisionPtr revIDLastSave="75" documentId="11_EDEAF3611BF62678FE3E35D432F959B15915F79F" xr6:coauthVersionLast="47" xr6:coauthVersionMax="47" xr10:uidLastSave="{6D3FD182-FAC1-4644-9993-D2AEE2FCBA5C}"/>
  <bookViews>
    <workbookView xWindow="-120" yWindow="-120" windowWidth="29040" windowHeight="17520" tabRatio="500" activeTab="1" xr2:uid="{00000000-000D-0000-FFFF-FFFF00000000}"/>
  </bookViews>
  <sheets>
    <sheet name="Genel Özet" sheetId="1" r:id="rId1"/>
    <sheet name="Maliyet Analizi" sheetId="2" r:id="rId2"/>
    <sheet name="Parametreler" sheetId="3" r:id="rId3"/>
    <sheet name="İşçilik Özet" sheetId="4" r:id="rId4"/>
    <sheet name="İşçilik Parametreleri" sheetId="5" r:id="rId5"/>
    <sheet name="Büküm Parçaları" sheetId="6" r:id="rId6"/>
    <sheet name="Resim Bulguları" sheetId="7" r:id="rId7"/>
    <sheet name="Sac Özet" sheetId="8" r:id="rId8"/>
    <sheet name="Sac Parça Detay" sheetId="9" r:id="rId9"/>
    <sheet name="Sac Parametreleri" sheetId="10" r:id="rId10"/>
    <sheet name="Sac Güncellemeler 31.10" sheetId="11" r:id="rId11"/>
    <sheet name="Sac Yöntem" sheetId="12" r:id="rId12"/>
    <sheet name="Satınalma Parçaları" sheetId="13" r:id="rId13"/>
    <sheet name="Satınalma Kalemleri" sheetId="14" r:id="rId14"/>
    <sheet name="Yaş Boya Listesi" sheetId="15" r:id="rId15"/>
    <sheet name="Kataforez Teklifleri" sheetId="16" r:id="rId16"/>
  </sheets>
  <definedNames>
    <definedName name="_xlnm._FilterDatabase" localSheetId="5" hidden="1">'Büküm Parçaları'!$A$1:$I$213</definedName>
    <definedName name="_xlnm._FilterDatabase" localSheetId="3" hidden="1">'İşçilik Özet'!$A$5:$AH$201</definedName>
    <definedName name="_xlnm._FilterDatabase" localSheetId="1" hidden="1">'Maliyet Analizi'!$A$4:$AH$202</definedName>
    <definedName name="_xlnm._FilterDatabase" localSheetId="6" hidden="1">'Resim Bulguları'!$A$1:$E$767</definedName>
    <definedName name="_xlnm._FilterDatabase" localSheetId="7" hidden="1">'Sac Özet'!$A$4:$S$199</definedName>
    <definedName name="_xlnm._FilterDatabase" localSheetId="8" hidden="1">'Sac Parça Detay'!$A$1:$X$544</definedName>
    <definedName name="_xlnm._FilterDatabase" localSheetId="13" hidden="1">'Satınalma Kalemleri'!$A$4:$J$107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G5" i="2" l="1"/>
  <c r="O5" i="2"/>
  <c r="Z6" i="4"/>
  <c r="F21" i="16"/>
  <c r="E21" i="16"/>
  <c r="C21" i="16"/>
  <c r="U20" i="16"/>
  <c r="T20" i="16"/>
  <c r="S20" i="16"/>
  <c r="N20" i="16"/>
  <c r="J20" i="16"/>
  <c r="U19" i="16"/>
  <c r="T19" i="16"/>
  <c r="S19" i="16"/>
  <c r="N19" i="16"/>
  <c r="J19" i="16"/>
  <c r="U18" i="16"/>
  <c r="T18" i="16"/>
  <c r="S18" i="16"/>
  <c r="N18" i="16"/>
  <c r="J18" i="16"/>
  <c r="U17" i="16"/>
  <c r="T17" i="16"/>
  <c r="S17" i="16"/>
  <c r="N17" i="16"/>
  <c r="J17" i="16"/>
  <c r="U16" i="16"/>
  <c r="T16" i="16"/>
  <c r="S16" i="16"/>
  <c r="N16" i="16"/>
  <c r="J16" i="16"/>
  <c r="U15" i="16"/>
  <c r="T15" i="16"/>
  <c r="S15" i="16"/>
  <c r="N15" i="16"/>
  <c r="J15" i="16"/>
  <c r="U14" i="16"/>
  <c r="T14" i="16"/>
  <c r="S14" i="16"/>
  <c r="N14" i="16"/>
  <c r="J14" i="16"/>
  <c r="U13" i="16"/>
  <c r="T13" i="16"/>
  <c r="S13" i="16"/>
  <c r="N13" i="16"/>
  <c r="J13" i="16"/>
  <c r="U12" i="16"/>
  <c r="T12" i="16"/>
  <c r="S12" i="16"/>
  <c r="N12" i="16"/>
  <c r="J12" i="16"/>
  <c r="U11" i="16"/>
  <c r="T11" i="16"/>
  <c r="S11" i="16"/>
  <c r="N11" i="16"/>
  <c r="J11" i="16"/>
  <c r="U10" i="16"/>
  <c r="T10" i="16"/>
  <c r="S10" i="16"/>
  <c r="N10" i="16"/>
  <c r="J10" i="16"/>
  <c r="U9" i="16"/>
  <c r="T9" i="16"/>
  <c r="S9" i="16"/>
  <c r="N9" i="16"/>
  <c r="J9" i="16"/>
  <c r="U8" i="16"/>
  <c r="T8" i="16"/>
  <c r="S8" i="16"/>
  <c r="N8" i="16"/>
  <c r="J8" i="16"/>
  <c r="U7" i="16"/>
  <c r="T7" i="16"/>
  <c r="S7" i="16"/>
  <c r="N7" i="16"/>
  <c r="J7" i="16"/>
  <c r="U6" i="16"/>
  <c r="T6" i="16"/>
  <c r="S6" i="16"/>
  <c r="N6" i="16"/>
  <c r="N21" i="16" s="1"/>
  <c r="J6" i="16"/>
  <c r="J21" i="16" s="1"/>
  <c r="E126" i="15"/>
  <c r="M125" i="15"/>
  <c r="J125" i="15"/>
  <c r="M124" i="15"/>
  <c r="J124" i="15"/>
  <c r="M123" i="15"/>
  <c r="J123" i="15"/>
  <c r="M122" i="15"/>
  <c r="J122" i="15"/>
  <c r="M121" i="15"/>
  <c r="J121" i="15"/>
  <c r="M120" i="15"/>
  <c r="J120" i="15"/>
  <c r="M119" i="15"/>
  <c r="J119" i="15"/>
  <c r="M118" i="15"/>
  <c r="J118" i="15"/>
  <c r="M117" i="15"/>
  <c r="J117" i="15"/>
  <c r="M116" i="15"/>
  <c r="J116" i="15"/>
  <c r="M115" i="15"/>
  <c r="J115" i="15"/>
  <c r="M114" i="15"/>
  <c r="J114" i="15"/>
  <c r="M113" i="15"/>
  <c r="J113" i="15"/>
  <c r="M112" i="15"/>
  <c r="J112" i="15"/>
  <c r="M111" i="15"/>
  <c r="J111" i="15"/>
  <c r="M110" i="15"/>
  <c r="J110" i="15"/>
  <c r="M109" i="15"/>
  <c r="J109" i="15"/>
  <c r="M108" i="15"/>
  <c r="J108" i="15"/>
  <c r="M107" i="15"/>
  <c r="J107" i="15"/>
  <c r="M106" i="15"/>
  <c r="J106" i="15"/>
  <c r="M105" i="15"/>
  <c r="J105" i="15"/>
  <c r="M104" i="15"/>
  <c r="J104" i="15"/>
  <c r="M103" i="15"/>
  <c r="J103" i="15"/>
  <c r="M102" i="15"/>
  <c r="J102" i="15"/>
  <c r="M101" i="15"/>
  <c r="J101" i="15"/>
  <c r="M100" i="15"/>
  <c r="J100" i="15"/>
  <c r="M99" i="15"/>
  <c r="J99" i="15"/>
  <c r="M98" i="15"/>
  <c r="J98" i="15"/>
  <c r="M97" i="15"/>
  <c r="J97" i="15"/>
  <c r="M96" i="15"/>
  <c r="J96" i="15"/>
  <c r="M95" i="15"/>
  <c r="J95" i="15"/>
  <c r="M94" i="15"/>
  <c r="J94" i="15"/>
  <c r="M93" i="15"/>
  <c r="J93" i="15"/>
  <c r="M92" i="15"/>
  <c r="J92" i="15"/>
  <c r="M91" i="15"/>
  <c r="J91" i="15"/>
  <c r="M90" i="15"/>
  <c r="J90" i="15"/>
  <c r="M89" i="15"/>
  <c r="J89" i="15"/>
  <c r="M88" i="15"/>
  <c r="J88" i="15"/>
  <c r="M87" i="15"/>
  <c r="J87" i="15"/>
  <c r="M86" i="15"/>
  <c r="J86" i="15"/>
  <c r="M85" i="15"/>
  <c r="J85" i="15"/>
  <c r="M84" i="15"/>
  <c r="J84" i="15"/>
  <c r="M83" i="15"/>
  <c r="J83" i="15"/>
  <c r="M82" i="15"/>
  <c r="J82" i="15"/>
  <c r="M81" i="15"/>
  <c r="J81" i="15"/>
  <c r="M80" i="15"/>
  <c r="J80" i="15"/>
  <c r="M79" i="15"/>
  <c r="J79" i="15"/>
  <c r="M78" i="15"/>
  <c r="J78" i="15"/>
  <c r="M77" i="15"/>
  <c r="J77" i="15"/>
  <c r="M76" i="15"/>
  <c r="J76" i="15"/>
  <c r="M75" i="15"/>
  <c r="J75" i="15"/>
  <c r="M74" i="15"/>
  <c r="J74" i="15"/>
  <c r="M73" i="15"/>
  <c r="J73" i="15"/>
  <c r="M72" i="15"/>
  <c r="J72" i="15"/>
  <c r="M71" i="15"/>
  <c r="J71" i="15"/>
  <c r="M70" i="15"/>
  <c r="J70" i="15"/>
  <c r="M69" i="15"/>
  <c r="J69" i="15"/>
  <c r="M68" i="15"/>
  <c r="J68" i="15"/>
  <c r="M67" i="15"/>
  <c r="J67" i="15"/>
  <c r="M66" i="15"/>
  <c r="J66" i="15"/>
  <c r="M65" i="15"/>
  <c r="J65" i="15"/>
  <c r="M64" i="15"/>
  <c r="J64" i="15"/>
  <c r="M63" i="15"/>
  <c r="J63" i="15"/>
  <c r="M62" i="15"/>
  <c r="J62" i="15"/>
  <c r="M61" i="15"/>
  <c r="J61" i="15"/>
  <c r="M60" i="15"/>
  <c r="J60" i="15"/>
  <c r="M59" i="15"/>
  <c r="J59" i="15"/>
  <c r="M58" i="15"/>
  <c r="J58" i="15"/>
  <c r="M57" i="15"/>
  <c r="J57" i="15"/>
  <c r="M56" i="15"/>
  <c r="J56" i="15"/>
  <c r="M55" i="15"/>
  <c r="J55" i="15"/>
  <c r="M54" i="15"/>
  <c r="J54" i="15"/>
  <c r="M53" i="15"/>
  <c r="J53" i="15"/>
  <c r="M52" i="15"/>
  <c r="J52" i="15"/>
  <c r="M51" i="15"/>
  <c r="J51" i="15"/>
  <c r="M50" i="15"/>
  <c r="J50" i="15"/>
  <c r="M49" i="15"/>
  <c r="J49" i="15"/>
  <c r="M48" i="15"/>
  <c r="J48" i="15"/>
  <c r="M47" i="15"/>
  <c r="J47" i="15"/>
  <c r="M46" i="15"/>
  <c r="J46" i="15"/>
  <c r="M45" i="15"/>
  <c r="J45" i="15"/>
  <c r="M44" i="15"/>
  <c r="J44" i="15"/>
  <c r="M43" i="15"/>
  <c r="J43" i="15"/>
  <c r="M42" i="15"/>
  <c r="J42" i="15"/>
  <c r="M41" i="15"/>
  <c r="J41" i="15"/>
  <c r="M40" i="15"/>
  <c r="J40" i="15"/>
  <c r="M39" i="15"/>
  <c r="J39" i="15"/>
  <c r="M38" i="15"/>
  <c r="K38" i="15"/>
  <c r="J38" i="15"/>
  <c r="M37" i="15"/>
  <c r="K37" i="15"/>
  <c r="J37" i="15"/>
  <c r="M36" i="15"/>
  <c r="J36" i="15"/>
  <c r="M35" i="15"/>
  <c r="K35" i="15"/>
  <c r="J35" i="15"/>
  <c r="M34" i="15"/>
  <c r="K34" i="15"/>
  <c r="J34" i="15"/>
  <c r="M33" i="15"/>
  <c r="K33" i="15"/>
  <c r="J33" i="15"/>
  <c r="M32" i="15"/>
  <c r="K32" i="15"/>
  <c r="J32" i="15"/>
  <c r="M31" i="15"/>
  <c r="K31" i="15"/>
  <c r="J31" i="15"/>
  <c r="M30" i="15"/>
  <c r="K30" i="15"/>
  <c r="J30" i="15"/>
  <c r="M29" i="15"/>
  <c r="K29" i="15"/>
  <c r="J29" i="15"/>
  <c r="M28" i="15"/>
  <c r="K28" i="15"/>
  <c r="J28" i="15"/>
  <c r="M27" i="15"/>
  <c r="K27" i="15"/>
  <c r="J27" i="15"/>
  <c r="M26" i="15"/>
  <c r="K26" i="15"/>
  <c r="J26" i="15"/>
  <c r="M25" i="15"/>
  <c r="K25" i="15"/>
  <c r="J25" i="15"/>
  <c r="M24" i="15"/>
  <c r="K24" i="15"/>
  <c r="J24" i="15"/>
  <c r="M23" i="15"/>
  <c r="J23" i="15"/>
  <c r="M22" i="15"/>
  <c r="K22" i="15"/>
  <c r="J22" i="15"/>
  <c r="M21" i="15"/>
  <c r="K21" i="15"/>
  <c r="J21" i="15"/>
  <c r="M20" i="15"/>
  <c r="K20" i="15"/>
  <c r="J20" i="15"/>
  <c r="M19" i="15"/>
  <c r="K19" i="15"/>
  <c r="J19" i="15"/>
  <c r="M18" i="15"/>
  <c r="K18" i="15"/>
  <c r="J18" i="15"/>
  <c r="M17" i="15"/>
  <c r="K17" i="15"/>
  <c r="J17" i="15"/>
  <c r="M16" i="15"/>
  <c r="K16" i="15"/>
  <c r="J16" i="15"/>
  <c r="M15" i="15"/>
  <c r="K15" i="15"/>
  <c r="J15" i="15"/>
  <c r="M14" i="15"/>
  <c r="K14" i="15"/>
  <c r="J14" i="15"/>
  <c r="M13" i="15"/>
  <c r="K13" i="15"/>
  <c r="J13" i="15"/>
  <c r="M12" i="15"/>
  <c r="K12" i="15"/>
  <c r="J12" i="15"/>
  <c r="M11" i="15"/>
  <c r="K11" i="15"/>
  <c r="J11" i="15"/>
  <c r="M10" i="15"/>
  <c r="K10" i="15"/>
  <c r="J10" i="15"/>
  <c r="M9" i="15"/>
  <c r="K9" i="15"/>
  <c r="J9" i="15"/>
  <c r="M8" i="15"/>
  <c r="K8" i="15"/>
  <c r="J8" i="15"/>
  <c r="M7" i="15"/>
  <c r="K7" i="15"/>
  <c r="J7" i="15"/>
  <c r="M6" i="15"/>
  <c r="M126" i="15" s="1"/>
  <c r="K6" i="15"/>
  <c r="J6" i="15"/>
  <c r="F3" i="15"/>
  <c r="H107" i="14"/>
  <c r="H106" i="14"/>
  <c r="H105" i="14"/>
  <c r="H104" i="14"/>
  <c r="H103" i="14"/>
  <c r="H102" i="14"/>
  <c r="H101" i="14"/>
  <c r="H100" i="14"/>
  <c r="H99" i="14"/>
  <c r="H98" i="14"/>
  <c r="H97" i="14"/>
  <c r="H96" i="14"/>
  <c r="H95" i="14"/>
  <c r="H94" i="14"/>
  <c r="H93" i="14"/>
  <c r="H92" i="14"/>
  <c r="H91" i="14"/>
  <c r="H90" i="14"/>
  <c r="H89" i="14"/>
  <c r="H88" i="14"/>
  <c r="H87" i="14"/>
  <c r="H86" i="14"/>
  <c r="H85" i="14"/>
  <c r="H84" i="14"/>
  <c r="H83" i="14"/>
  <c r="H82" i="14"/>
  <c r="H81" i="14"/>
  <c r="H80" i="14"/>
  <c r="H79" i="14"/>
  <c r="H78" i="14"/>
  <c r="H77" i="14"/>
  <c r="H76" i="14"/>
  <c r="H75" i="14"/>
  <c r="H74" i="14"/>
  <c r="H73" i="14"/>
  <c r="H72" i="14"/>
  <c r="H71" i="14"/>
  <c r="H70" i="14"/>
  <c r="H69" i="14"/>
  <c r="H68" i="14"/>
  <c r="H67" i="14"/>
  <c r="H66" i="14"/>
  <c r="H65" i="14"/>
  <c r="H64" i="14"/>
  <c r="H63" i="14"/>
  <c r="H62" i="14"/>
  <c r="H61" i="14"/>
  <c r="H60" i="14"/>
  <c r="H59" i="14"/>
  <c r="H58" i="14"/>
  <c r="H57" i="14"/>
  <c r="H56" i="14"/>
  <c r="H55" i="14"/>
  <c r="H54" i="14"/>
  <c r="H53" i="14"/>
  <c r="H52" i="14"/>
  <c r="H51" i="14"/>
  <c r="H50" i="14"/>
  <c r="H49" i="14"/>
  <c r="H48" i="14"/>
  <c r="H47" i="14"/>
  <c r="H46" i="14"/>
  <c r="H45" i="14"/>
  <c r="H44" i="14"/>
  <c r="H43" i="14"/>
  <c r="H42" i="14"/>
  <c r="H41" i="14"/>
  <c r="H40" i="14"/>
  <c r="H39" i="14"/>
  <c r="H38" i="14"/>
  <c r="H37" i="14"/>
  <c r="H36" i="14"/>
  <c r="H35" i="14"/>
  <c r="H34" i="14"/>
  <c r="H33" i="14"/>
  <c r="H32" i="14"/>
  <c r="H31" i="14"/>
  <c r="H30" i="14"/>
  <c r="H29" i="14"/>
  <c r="H28" i="14"/>
  <c r="H27" i="14"/>
  <c r="H26" i="14"/>
  <c r="H25" i="14"/>
  <c r="H24" i="14"/>
  <c r="H23" i="14"/>
  <c r="H22" i="14"/>
  <c r="H21" i="14"/>
  <c r="H20" i="14"/>
  <c r="H19" i="14"/>
  <c r="H18" i="14"/>
  <c r="H17" i="14"/>
  <c r="H16" i="14"/>
  <c r="H15" i="14"/>
  <c r="H14" i="14"/>
  <c r="H13" i="14"/>
  <c r="H12" i="14"/>
  <c r="H11" i="14"/>
  <c r="H10" i="14"/>
  <c r="H9" i="14"/>
  <c r="H8" i="14"/>
  <c r="H7" i="14"/>
  <c r="H6" i="14"/>
  <c r="H5" i="14"/>
  <c r="L107" i="13"/>
  <c r="L106" i="13"/>
  <c r="L105" i="13"/>
  <c r="L104" i="13"/>
  <c r="L103" i="13"/>
  <c r="L102" i="13"/>
  <c r="L101" i="13"/>
  <c r="L100" i="13"/>
  <c r="L99" i="13"/>
  <c r="L98" i="13"/>
  <c r="L97" i="13"/>
  <c r="L96" i="13"/>
  <c r="L95" i="13"/>
  <c r="L94" i="13"/>
  <c r="L93" i="13"/>
  <c r="L92" i="13"/>
  <c r="L91" i="13"/>
  <c r="L90" i="13"/>
  <c r="L89" i="13"/>
  <c r="L88" i="13"/>
  <c r="L87" i="13"/>
  <c r="L86" i="13"/>
  <c r="L85" i="13"/>
  <c r="L84" i="13"/>
  <c r="L83" i="13"/>
  <c r="L82" i="13"/>
  <c r="L81" i="13"/>
  <c r="L80" i="13"/>
  <c r="L79" i="13"/>
  <c r="L78" i="13"/>
  <c r="L77" i="13"/>
  <c r="L76" i="13"/>
  <c r="L75" i="13"/>
  <c r="L74" i="13"/>
  <c r="L73" i="13"/>
  <c r="L72" i="13"/>
  <c r="L71" i="13"/>
  <c r="L70" i="13"/>
  <c r="L69" i="13"/>
  <c r="L68" i="13"/>
  <c r="L67" i="13"/>
  <c r="L66" i="13"/>
  <c r="L65" i="13"/>
  <c r="L64" i="13"/>
  <c r="L63" i="13"/>
  <c r="L62" i="13"/>
  <c r="L61" i="13"/>
  <c r="L60" i="13"/>
  <c r="L59" i="13"/>
  <c r="L58" i="13"/>
  <c r="L57" i="13"/>
  <c r="L56" i="13"/>
  <c r="L55" i="13"/>
  <c r="L54" i="13"/>
  <c r="L53" i="13"/>
  <c r="L52" i="13"/>
  <c r="L51" i="13"/>
  <c r="L50" i="13"/>
  <c r="L49" i="13"/>
  <c r="L48" i="13"/>
  <c r="L47" i="13"/>
  <c r="L46" i="13"/>
  <c r="L45" i="13"/>
  <c r="L44" i="13"/>
  <c r="L43" i="13"/>
  <c r="L42" i="13"/>
  <c r="L41" i="13"/>
  <c r="L40" i="13"/>
  <c r="L39" i="13"/>
  <c r="L38" i="13"/>
  <c r="L37" i="13"/>
  <c r="L36" i="13"/>
  <c r="L35" i="13"/>
  <c r="L34" i="13"/>
  <c r="L33" i="13"/>
  <c r="L32" i="13"/>
  <c r="L31" i="13"/>
  <c r="L30" i="13"/>
  <c r="L29" i="13"/>
  <c r="L28" i="13"/>
  <c r="L27" i="13"/>
  <c r="L26" i="13"/>
  <c r="L25" i="13"/>
  <c r="L24" i="13"/>
  <c r="L23" i="13"/>
  <c r="L22" i="13"/>
  <c r="L21" i="13"/>
  <c r="L20" i="13"/>
  <c r="L19" i="13"/>
  <c r="L18" i="13"/>
  <c r="L17" i="13"/>
  <c r="L16" i="13"/>
  <c r="L15" i="13"/>
  <c r="L14" i="13"/>
  <c r="L13" i="13"/>
  <c r="L12" i="13"/>
  <c r="L11" i="13"/>
  <c r="L10" i="13"/>
  <c r="L9" i="13"/>
  <c r="L8" i="13"/>
  <c r="L7" i="13"/>
  <c r="L6" i="13"/>
  <c r="L5" i="13"/>
  <c r="L4" i="13"/>
  <c r="L3" i="13"/>
  <c r="L2" i="13"/>
  <c r="I13" i="11"/>
  <c r="I12" i="11"/>
  <c r="I11" i="11"/>
  <c r="I10" i="11"/>
  <c r="I9" i="11"/>
  <c r="I8" i="11"/>
  <c r="I7" i="11"/>
  <c r="I6" i="11"/>
  <c r="I5" i="11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B4" i="10"/>
  <c r="T544" i="9"/>
  <c r="M544" i="9"/>
  <c r="T543" i="9"/>
  <c r="M543" i="9"/>
  <c r="T542" i="9"/>
  <c r="M542" i="9"/>
  <c r="T541" i="9"/>
  <c r="M541" i="9"/>
  <c r="T540" i="9"/>
  <c r="M540" i="9"/>
  <c r="T539" i="9"/>
  <c r="M539" i="9"/>
  <c r="T538" i="9"/>
  <c r="M538" i="9"/>
  <c r="T537" i="9"/>
  <c r="M537" i="9"/>
  <c r="T536" i="9"/>
  <c r="M536" i="9"/>
  <c r="T535" i="9"/>
  <c r="M535" i="9"/>
  <c r="T534" i="9"/>
  <c r="M534" i="9"/>
  <c r="T533" i="9"/>
  <c r="M533" i="9"/>
  <c r="T532" i="9"/>
  <c r="M532" i="9"/>
  <c r="T531" i="9"/>
  <c r="M531" i="9"/>
  <c r="T530" i="9"/>
  <c r="M530" i="9"/>
  <c r="T529" i="9"/>
  <c r="M529" i="9"/>
  <c r="T528" i="9"/>
  <c r="M528" i="9"/>
  <c r="T527" i="9"/>
  <c r="M527" i="9"/>
  <c r="T526" i="9"/>
  <c r="M526" i="9"/>
  <c r="T525" i="9"/>
  <c r="M525" i="9"/>
  <c r="T524" i="9"/>
  <c r="M524" i="9"/>
  <c r="T523" i="9"/>
  <c r="M523" i="9"/>
  <c r="T522" i="9"/>
  <c r="M522" i="9"/>
  <c r="T521" i="9"/>
  <c r="M521" i="9"/>
  <c r="T520" i="9"/>
  <c r="M520" i="9"/>
  <c r="T519" i="9"/>
  <c r="M519" i="9"/>
  <c r="T518" i="9"/>
  <c r="M518" i="9"/>
  <c r="T517" i="9"/>
  <c r="M517" i="9"/>
  <c r="T516" i="9"/>
  <c r="M516" i="9"/>
  <c r="T515" i="9"/>
  <c r="M515" i="9"/>
  <c r="T514" i="9"/>
  <c r="M514" i="9"/>
  <c r="T513" i="9"/>
  <c r="M513" i="9"/>
  <c r="T512" i="9"/>
  <c r="M512" i="9"/>
  <c r="T511" i="9"/>
  <c r="M511" i="9"/>
  <c r="T510" i="9"/>
  <c r="M510" i="9"/>
  <c r="T509" i="9"/>
  <c r="M509" i="9"/>
  <c r="T508" i="9"/>
  <c r="M508" i="9"/>
  <c r="T507" i="9"/>
  <c r="M507" i="9"/>
  <c r="T506" i="9"/>
  <c r="M506" i="9"/>
  <c r="T505" i="9"/>
  <c r="M505" i="9"/>
  <c r="T504" i="9"/>
  <c r="M504" i="9"/>
  <c r="T503" i="9"/>
  <c r="M503" i="9"/>
  <c r="T502" i="9"/>
  <c r="M502" i="9"/>
  <c r="T501" i="9"/>
  <c r="M501" i="9"/>
  <c r="T500" i="9"/>
  <c r="M500" i="9"/>
  <c r="T499" i="9"/>
  <c r="M499" i="9"/>
  <c r="T498" i="9"/>
  <c r="M498" i="9"/>
  <c r="T497" i="9"/>
  <c r="M497" i="9"/>
  <c r="T496" i="9"/>
  <c r="M496" i="9"/>
  <c r="T495" i="9"/>
  <c r="M495" i="9"/>
  <c r="T494" i="9"/>
  <c r="M494" i="9"/>
  <c r="T493" i="9"/>
  <c r="M493" i="9"/>
  <c r="T492" i="9"/>
  <c r="M492" i="9"/>
  <c r="T491" i="9"/>
  <c r="M491" i="9"/>
  <c r="T490" i="9"/>
  <c r="M490" i="9"/>
  <c r="T489" i="9"/>
  <c r="M489" i="9"/>
  <c r="T488" i="9"/>
  <c r="M488" i="9"/>
  <c r="T487" i="9"/>
  <c r="M487" i="9"/>
  <c r="T486" i="9"/>
  <c r="M486" i="9"/>
  <c r="T485" i="9"/>
  <c r="M485" i="9"/>
  <c r="T484" i="9"/>
  <c r="M484" i="9"/>
  <c r="T483" i="9"/>
  <c r="M483" i="9"/>
  <c r="T482" i="9"/>
  <c r="M482" i="9"/>
  <c r="V481" i="9"/>
  <c r="T481" i="9"/>
  <c r="M481" i="9"/>
  <c r="T480" i="9"/>
  <c r="M480" i="9"/>
  <c r="T479" i="9"/>
  <c r="M479" i="9"/>
  <c r="T478" i="9"/>
  <c r="M478" i="9"/>
  <c r="T477" i="9"/>
  <c r="M477" i="9"/>
  <c r="T476" i="9"/>
  <c r="M476" i="9"/>
  <c r="T475" i="9"/>
  <c r="M475" i="9"/>
  <c r="T474" i="9"/>
  <c r="M474" i="9"/>
  <c r="T473" i="9"/>
  <c r="M473" i="9"/>
  <c r="T472" i="9"/>
  <c r="M472" i="9"/>
  <c r="T471" i="9"/>
  <c r="M471" i="9"/>
  <c r="T470" i="9"/>
  <c r="M470" i="9"/>
  <c r="T469" i="9"/>
  <c r="M469" i="9"/>
  <c r="T468" i="9"/>
  <c r="M468" i="9"/>
  <c r="T467" i="9"/>
  <c r="M467" i="9"/>
  <c r="T466" i="9"/>
  <c r="M466" i="9"/>
  <c r="T465" i="9"/>
  <c r="M465" i="9"/>
  <c r="T464" i="9"/>
  <c r="M464" i="9"/>
  <c r="T463" i="9"/>
  <c r="M463" i="9"/>
  <c r="T462" i="9"/>
  <c r="M462" i="9"/>
  <c r="T461" i="9"/>
  <c r="M461" i="9"/>
  <c r="T460" i="9"/>
  <c r="M460" i="9"/>
  <c r="T459" i="9"/>
  <c r="M459" i="9"/>
  <c r="T458" i="9"/>
  <c r="M458" i="9"/>
  <c r="T457" i="9"/>
  <c r="M457" i="9"/>
  <c r="T456" i="9"/>
  <c r="M456" i="9"/>
  <c r="T455" i="9"/>
  <c r="M455" i="9"/>
  <c r="T454" i="9"/>
  <c r="M454" i="9"/>
  <c r="T453" i="9"/>
  <c r="M453" i="9"/>
  <c r="T452" i="9"/>
  <c r="M452" i="9"/>
  <c r="T451" i="9"/>
  <c r="M451" i="9"/>
  <c r="T450" i="9"/>
  <c r="M450" i="9"/>
  <c r="T449" i="9"/>
  <c r="M449" i="9"/>
  <c r="T448" i="9"/>
  <c r="M448" i="9"/>
  <c r="T447" i="9"/>
  <c r="M447" i="9"/>
  <c r="T446" i="9"/>
  <c r="M446" i="9"/>
  <c r="T445" i="9"/>
  <c r="M445" i="9"/>
  <c r="T444" i="9"/>
  <c r="M444" i="9"/>
  <c r="T443" i="9"/>
  <c r="M443" i="9"/>
  <c r="T442" i="9"/>
  <c r="M442" i="9"/>
  <c r="T441" i="9"/>
  <c r="M441" i="9"/>
  <c r="T440" i="9"/>
  <c r="M440" i="9"/>
  <c r="T439" i="9"/>
  <c r="M439" i="9"/>
  <c r="T438" i="9"/>
  <c r="M438" i="9"/>
  <c r="T437" i="9"/>
  <c r="M437" i="9"/>
  <c r="T436" i="9"/>
  <c r="M436" i="9"/>
  <c r="T435" i="9"/>
  <c r="M435" i="9"/>
  <c r="T434" i="9"/>
  <c r="M434" i="9"/>
  <c r="T433" i="9"/>
  <c r="M433" i="9"/>
  <c r="T432" i="9"/>
  <c r="M432" i="9"/>
  <c r="T431" i="9"/>
  <c r="M431" i="9"/>
  <c r="T430" i="9"/>
  <c r="M430" i="9"/>
  <c r="T429" i="9"/>
  <c r="M429" i="9"/>
  <c r="T428" i="9"/>
  <c r="M428" i="9"/>
  <c r="T427" i="9"/>
  <c r="M427" i="9"/>
  <c r="T426" i="9"/>
  <c r="M426" i="9"/>
  <c r="T425" i="9"/>
  <c r="M425" i="9"/>
  <c r="T424" i="9"/>
  <c r="M424" i="9"/>
  <c r="T423" i="9"/>
  <c r="M423" i="9"/>
  <c r="T422" i="9"/>
  <c r="M422" i="9"/>
  <c r="T421" i="9"/>
  <c r="M421" i="9"/>
  <c r="T420" i="9"/>
  <c r="M420" i="9"/>
  <c r="T419" i="9"/>
  <c r="M419" i="9"/>
  <c r="T418" i="9"/>
  <c r="M418" i="9"/>
  <c r="T417" i="9"/>
  <c r="M417" i="9"/>
  <c r="T416" i="9"/>
  <c r="M416" i="9"/>
  <c r="T415" i="9"/>
  <c r="M415" i="9"/>
  <c r="T414" i="9"/>
  <c r="M414" i="9"/>
  <c r="T413" i="9"/>
  <c r="M413" i="9"/>
  <c r="T412" i="9"/>
  <c r="M412" i="9"/>
  <c r="T411" i="9"/>
  <c r="M411" i="9"/>
  <c r="T410" i="9"/>
  <c r="M410" i="9"/>
  <c r="T409" i="9"/>
  <c r="M409" i="9"/>
  <c r="T408" i="9"/>
  <c r="M408" i="9"/>
  <c r="T407" i="9"/>
  <c r="M407" i="9"/>
  <c r="T406" i="9"/>
  <c r="M406" i="9"/>
  <c r="T405" i="9"/>
  <c r="M405" i="9"/>
  <c r="T404" i="9"/>
  <c r="M404" i="9"/>
  <c r="T403" i="9"/>
  <c r="M403" i="9"/>
  <c r="T402" i="9"/>
  <c r="M402" i="9"/>
  <c r="T401" i="9"/>
  <c r="M401" i="9"/>
  <c r="T400" i="9"/>
  <c r="M400" i="9"/>
  <c r="T399" i="9"/>
  <c r="M399" i="9"/>
  <c r="T398" i="9"/>
  <c r="M398" i="9"/>
  <c r="T397" i="9"/>
  <c r="M397" i="9"/>
  <c r="T396" i="9"/>
  <c r="M396" i="9"/>
  <c r="T395" i="9"/>
  <c r="M395" i="9"/>
  <c r="T394" i="9"/>
  <c r="M394" i="9"/>
  <c r="T393" i="9"/>
  <c r="M393" i="9"/>
  <c r="T392" i="9"/>
  <c r="M392" i="9"/>
  <c r="T391" i="9"/>
  <c r="M391" i="9"/>
  <c r="T390" i="9"/>
  <c r="M390" i="9"/>
  <c r="T389" i="9"/>
  <c r="M389" i="9"/>
  <c r="T388" i="9"/>
  <c r="M388" i="9"/>
  <c r="T387" i="9"/>
  <c r="M387" i="9"/>
  <c r="T386" i="9"/>
  <c r="M386" i="9"/>
  <c r="T385" i="9"/>
  <c r="M385" i="9"/>
  <c r="T384" i="9"/>
  <c r="M384" i="9"/>
  <c r="T383" i="9"/>
  <c r="M383" i="9"/>
  <c r="T382" i="9"/>
  <c r="M382" i="9"/>
  <c r="T381" i="9"/>
  <c r="M381" i="9"/>
  <c r="T380" i="9"/>
  <c r="M380" i="9"/>
  <c r="T379" i="9"/>
  <c r="M379" i="9"/>
  <c r="T378" i="9"/>
  <c r="M378" i="9"/>
  <c r="T377" i="9"/>
  <c r="M377" i="9"/>
  <c r="T376" i="9"/>
  <c r="M376" i="9"/>
  <c r="T375" i="9"/>
  <c r="M375" i="9"/>
  <c r="T374" i="9"/>
  <c r="M374" i="9"/>
  <c r="T373" i="9"/>
  <c r="M373" i="9"/>
  <c r="T372" i="9"/>
  <c r="M372" i="9"/>
  <c r="T371" i="9"/>
  <c r="M371" i="9"/>
  <c r="T370" i="9"/>
  <c r="M370" i="9"/>
  <c r="T369" i="9"/>
  <c r="M369" i="9"/>
  <c r="T368" i="9"/>
  <c r="M368" i="9"/>
  <c r="T367" i="9"/>
  <c r="M367" i="9"/>
  <c r="T366" i="9"/>
  <c r="M366" i="9"/>
  <c r="T365" i="9"/>
  <c r="M365" i="9"/>
  <c r="T364" i="9"/>
  <c r="M364" i="9"/>
  <c r="T363" i="9"/>
  <c r="M363" i="9"/>
  <c r="T362" i="9"/>
  <c r="M362" i="9"/>
  <c r="T361" i="9"/>
  <c r="M361" i="9"/>
  <c r="T360" i="9"/>
  <c r="M360" i="9"/>
  <c r="T359" i="9"/>
  <c r="M359" i="9"/>
  <c r="T358" i="9"/>
  <c r="M358" i="9"/>
  <c r="T357" i="9"/>
  <c r="M357" i="9"/>
  <c r="T356" i="9"/>
  <c r="M356" i="9"/>
  <c r="T355" i="9"/>
  <c r="M355" i="9"/>
  <c r="T354" i="9"/>
  <c r="M354" i="9"/>
  <c r="T353" i="9"/>
  <c r="M353" i="9"/>
  <c r="T352" i="9"/>
  <c r="M352" i="9"/>
  <c r="T351" i="9"/>
  <c r="M351" i="9"/>
  <c r="T350" i="9"/>
  <c r="M350" i="9"/>
  <c r="V349" i="9"/>
  <c r="T349" i="9"/>
  <c r="M349" i="9"/>
  <c r="T348" i="9"/>
  <c r="M348" i="9"/>
  <c r="T347" i="9"/>
  <c r="M347" i="9"/>
  <c r="T346" i="9"/>
  <c r="M346" i="9"/>
  <c r="T345" i="9"/>
  <c r="M345" i="9"/>
  <c r="T344" i="9"/>
  <c r="M344" i="9"/>
  <c r="T343" i="9"/>
  <c r="M343" i="9"/>
  <c r="T342" i="9"/>
  <c r="M342" i="9"/>
  <c r="T341" i="9"/>
  <c r="M341" i="9"/>
  <c r="T340" i="9"/>
  <c r="M340" i="9"/>
  <c r="T339" i="9"/>
  <c r="M339" i="9"/>
  <c r="T338" i="9"/>
  <c r="M338" i="9"/>
  <c r="T337" i="9"/>
  <c r="M337" i="9"/>
  <c r="T336" i="9"/>
  <c r="M336" i="9"/>
  <c r="T335" i="9"/>
  <c r="M335" i="9"/>
  <c r="T334" i="9"/>
  <c r="M334" i="9"/>
  <c r="T333" i="9"/>
  <c r="M333" i="9"/>
  <c r="T332" i="9"/>
  <c r="M332" i="9"/>
  <c r="T331" i="9"/>
  <c r="M331" i="9"/>
  <c r="T330" i="9"/>
  <c r="M330" i="9"/>
  <c r="T329" i="9"/>
  <c r="M329" i="9"/>
  <c r="T328" i="9"/>
  <c r="M328" i="9"/>
  <c r="T327" i="9"/>
  <c r="M327" i="9"/>
  <c r="T326" i="9"/>
  <c r="M326" i="9"/>
  <c r="T325" i="9"/>
  <c r="M325" i="9"/>
  <c r="T324" i="9"/>
  <c r="M324" i="9"/>
  <c r="T323" i="9"/>
  <c r="M323" i="9"/>
  <c r="T322" i="9"/>
  <c r="M322" i="9"/>
  <c r="T321" i="9"/>
  <c r="M321" i="9"/>
  <c r="T320" i="9"/>
  <c r="M320" i="9"/>
  <c r="T319" i="9"/>
  <c r="M319" i="9"/>
  <c r="T318" i="9"/>
  <c r="M318" i="9"/>
  <c r="T317" i="9"/>
  <c r="M317" i="9"/>
  <c r="T316" i="9"/>
  <c r="M316" i="9"/>
  <c r="T315" i="9"/>
  <c r="M315" i="9"/>
  <c r="T314" i="9"/>
  <c r="M314" i="9"/>
  <c r="T313" i="9"/>
  <c r="M313" i="9"/>
  <c r="T312" i="9"/>
  <c r="M312" i="9"/>
  <c r="T311" i="9"/>
  <c r="M311" i="9"/>
  <c r="T310" i="9"/>
  <c r="M310" i="9"/>
  <c r="T309" i="9"/>
  <c r="M309" i="9"/>
  <c r="T308" i="9"/>
  <c r="M308" i="9"/>
  <c r="T307" i="9"/>
  <c r="M307" i="9"/>
  <c r="T306" i="9"/>
  <c r="M306" i="9"/>
  <c r="T305" i="9"/>
  <c r="M305" i="9"/>
  <c r="T304" i="9"/>
  <c r="M304" i="9"/>
  <c r="T303" i="9"/>
  <c r="M303" i="9"/>
  <c r="T302" i="9"/>
  <c r="M302" i="9"/>
  <c r="T301" i="9"/>
  <c r="M301" i="9"/>
  <c r="T300" i="9"/>
  <c r="M300" i="9"/>
  <c r="T299" i="9"/>
  <c r="M299" i="9"/>
  <c r="T298" i="9"/>
  <c r="M298" i="9"/>
  <c r="T297" i="9"/>
  <c r="M297" i="9"/>
  <c r="T296" i="9"/>
  <c r="M296" i="9"/>
  <c r="T295" i="9"/>
  <c r="M295" i="9"/>
  <c r="T294" i="9"/>
  <c r="M294" i="9"/>
  <c r="T293" i="9"/>
  <c r="M293" i="9"/>
  <c r="T292" i="9"/>
  <c r="M292" i="9"/>
  <c r="T291" i="9"/>
  <c r="M291" i="9"/>
  <c r="T290" i="9"/>
  <c r="M290" i="9"/>
  <c r="T289" i="9"/>
  <c r="M289" i="9"/>
  <c r="T288" i="9"/>
  <c r="M288" i="9"/>
  <c r="T287" i="9"/>
  <c r="M287" i="9"/>
  <c r="T286" i="9"/>
  <c r="M286" i="9"/>
  <c r="T285" i="9"/>
  <c r="M285" i="9"/>
  <c r="T284" i="9"/>
  <c r="M284" i="9"/>
  <c r="T283" i="9"/>
  <c r="M283" i="9"/>
  <c r="T282" i="9"/>
  <c r="M282" i="9"/>
  <c r="T281" i="9"/>
  <c r="M281" i="9"/>
  <c r="T280" i="9"/>
  <c r="M280" i="9"/>
  <c r="T279" i="9"/>
  <c r="M279" i="9"/>
  <c r="T278" i="9"/>
  <c r="M278" i="9"/>
  <c r="T277" i="9"/>
  <c r="M277" i="9"/>
  <c r="T276" i="9"/>
  <c r="M276" i="9"/>
  <c r="T275" i="9"/>
  <c r="M275" i="9"/>
  <c r="T274" i="9"/>
  <c r="M274" i="9"/>
  <c r="T273" i="9"/>
  <c r="M273" i="9"/>
  <c r="T272" i="9"/>
  <c r="M272" i="9"/>
  <c r="T271" i="9"/>
  <c r="M271" i="9"/>
  <c r="T270" i="9"/>
  <c r="M270" i="9"/>
  <c r="T269" i="9"/>
  <c r="M269" i="9"/>
  <c r="T268" i="9"/>
  <c r="M268" i="9"/>
  <c r="T267" i="9"/>
  <c r="M267" i="9"/>
  <c r="T266" i="9"/>
  <c r="M266" i="9"/>
  <c r="T265" i="9"/>
  <c r="M265" i="9"/>
  <c r="T264" i="9"/>
  <c r="M264" i="9"/>
  <c r="T263" i="9"/>
  <c r="M263" i="9"/>
  <c r="T262" i="9"/>
  <c r="M262" i="9"/>
  <c r="T261" i="9"/>
  <c r="M261" i="9"/>
  <c r="T260" i="9"/>
  <c r="M260" i="9"/>
  <c r="T259" i="9"/>
  <c r="M259" i="9"/>
  <c r="T258" i="9"/>
  <c r="M258" i="9"/>
  <c r="T257" i="9"/>
  <c r="M257" i="9"/>
  <c r="T256" i="9"/>
  <c r="M256" i="9"/>
  <c r="T255" i="9"/>
  <c r="M255" i="9"/>
  <c r="T254" i="9"/>
  <c r="M254" i="9"/>
  <c r="T253" i="9"/>
  <c r="M253" i="9"/>
  <c r="T252" i="9"/>
  <c r="M252" i="9"/>
  <c r="T251" i="9"/>
  <c r="M251" i="9"/>
  <c r="T250" i="9"/>
  <c r="M250" i="9"/>
  <c r="T249" i="9"/>
  <c r="M249" i="9"/>
  <c r="T248" i="9"/>
  <c r="M248" i="9"/>
  <c r="T247" i="9"/>
  <c r="M247" i="9"/>
  <c r="T246" i="9"/>
  <c r="M246" i="9"/>
  <c r="T245" i="9"/>
  <c r="M245" i="9"/>
  <c r="T244" i="9"/>
  <c r="M244" i="9"/>
  <c r="T243" i="9"/>
  <c r="M243" i="9"/>
  <c r="T242" i="9"/>
  <c r="M242" i="9"/>
  <c r="T241" i="9"/>
  <c r="M241" i="9"/>
  <c r="T240" i="9"/>
  <c r="M240" i="9"/>
  <c r="T239" i="9"/>
  <c r="M239" i="9"/>
  <c r="T238" i="9"/>
  <c r="M238" i="9"/>
  <c r="T237" i="9"/>
  <c r="M237" i="9"/>
  <c r="T236" i="9"/>
  <c r="M236" i="9"/>
  <c r="T235" i="9"/>
  <c r="M235" i="9"/>
  <c r="T234" i="9"/>
  <c r="M234" i="9"/>
  <c r="T233" i="9"/>
  <c r="M233" i="9"/>
  <c r="T232" i="9"/>
  <c r="M232" i="9"/>
  <c r="T231" i="9"/>
  <c r="M231" i="9"/>
  <c r="T230" i="9"/>
  <c r="M230" i="9"/>
  <c r="T229" i="9"/>
  <c r="M229" i="9"/>
  <c r="T228" i="9"/>
  <c r="M228" i="9"/>
  <c r="T227" i="9"/>
  <c r="M227" i="9"/>
  <c r="T226" i="9"/>
  <c r="M226" i="9"/>
  <c r="T225" i="9"/>
  <c r="M225" i="9"/>
  <c r="T224" i="9"/>
  <c r="M224" i="9"/>
  <c r="T223" i="9"/>
  <c r="M223" i="9"/>
  <c r="T222" i="9"/>
  <c r="M222" i="9"/>
  <c r="T221" i="9"/>
  <c r="M221" i="9"/>
  <c r="T220" i="9"/>
  <c r="M220" i="9"/>
  <c r="T219" i="9"/>
  <c r="M219" i="9"/>
  <c r="T218" i="9"/>
  <c r="M218" i="9"/>
  <c r="V217" i="9"/>
  <c r="T217" i="9"/>
  <c r="M217" i="9"/>
  <c r="T216" i="9"/>
  <c r="M216" i="9"/>
  <c r="T215" i="9"/>
  <c r="M215" i="9"/>
  <c r="T214" i="9"/>
  <c r="M214" i="9"/>
  <c r="T213" i="9"/>
  <c r="M213" i="9"/>
  <c r="T212" i="9"/>
  <c r="M212" i="9"/>
  <c r="T211" i="9"/>
  <c r="M211" i="9"/>
  <c r="T210" i="9"/>
  <c r="M210" i="9"/>
  <c r="T209" i="9"/>
  <c r="M209" i="9"/>
  <c r="T208" i="9"/>
  <c r="M208" i="9"/>
  <c r="T207" i="9"/>
  <c r="M207" i="9"/>
  <c r="T206" i="9"/>
  <c r="M206" i="9"/>
  <c r="T205" i="9"/>
  <c r="M205" i="9"/>
  <c r="T204" i="9"/>
  <c r="M204" i="9"/>
  <c r="T203" i="9"/>
  <c r="M203" i="9"/>
  <c r="T202" i="9"/>
  <c r="M202" i="9"/>
  <c r="T201" i="9"/>
  <c r="M201" i="9"/>
  <c r="T200" i="9"/>
  <c r="M200" i="9"/>
  <c r="T199" i="9"/>
  <c r="M199" i="9"/>
  <c r="T198" i="9"/>
  <c r="M198" i="9"/>
  <c r="T197" i="9"/>
  <c r="M197" i="9"/>
  <c r="T196" i="9"/>
  <c r="M196" i="9"/>
  <c r="T195" i="9"/>
  <c r="M195" i="9"/>
  <c r="T194" i="9"/>
  <c r="M194" i="9"/>
  <c r="T193" i="9"/>
  <c r="M193" i="9"/>
  <c r="T192" i="9"/>
  <c r="M192" i="9"/>
  <c r="T191" i="9"/>
  <c r="M191" i="9"/>
  <c r="T190" i="9"/>
  <c r="M190" i="9"/>
  <c r="T189" i="9"/>
  <c r="M189" i="9"/>
  <c r="T188" i="9"/>
  <c r="M188" i="9"/>
  <c r="T187" i="9"/>
  <c r="M187" i="9"/>
  <c r="T186" i="9"/>
  <c r="M186" i="9"/>
  <c r="T185" i="9"/>
  <c r="M185" i="9"/>
  <c r="T184" i="9"/>
  <c r="M184" i="9"/>
  <c r="T183" i="9"/>
  <c r="M183" i="9"/>
  <c r="T182" i="9"/>
  <c r="M182" i="9"/>
  <c r="T181" i="9"/>
  <c r="M181" i="9"/>
  <c r="T180" i="9"/>
  <c r="M180" i="9"/>
  <c r="T179" i="9"/>
  <c r="M179" i="9"/>
  <c r="T178" i="9"/>
  <c r="M178" i="9"/>
  <c r="T177" i="9"/>
  <c r="M177" i="9"/>
  <c r="T176" i="9"/>
  <c r="M176" i="9"/>
  <c r="T175" i="9"/>
  <c r="M175" i="9"/>
  <c r="T174" i="9"/>
  <c r="M174" i="9"/>
  <c r="T173" i="9"/>
  <c r="M173" i="9"/>
  <c r="T172" i="9"/>
  <c r="M172" i="9"/>
  <c r="T171" i="9"/>
  <c r="M171" i="9"/>
  <c r="T170" i="9"/>
  <c r="M170" i="9"/>
  <c r="T169" i="9"/>
  <c r="M169" i="9"/>
  <c r="T168" i="9"/>
  <c r="M168" i="9"/>
  <c r="T167" i="9"/>
  <c r="M167" i="9"/>
  <c r="T166" i="9"/>
  <c r="M166" i="9"/>
  <c r="T165" i="9"/>
  <c r="M165" i="9"/>
  <c r="T164" i="9"/>
  <c r="M164" i="9"/>
  <c r="T163" i="9"/>
  <c r="M163" i="9"/>
  <c r="T162" i="9"/>
  <c r="M162" i="9"/>
  <c r="T161" i="9"/>
  <c r="M161" i="9"/>
  <c r="T160" i="9"/>
  <c r="M160" i="9"/>
  <c r="T159" i="9"/>
  <c r="M159" i="9"/>
  <c r="T158" i="9"/>
  <c r="M158" i="9"/>
  <c r="T157" i="9"/>
  <c r="M157" i="9"/>
  <c r="T156" i="9"/>
  <c r="M156" i="9"/>
  <c r="T155" i="9"/>
  <c r="M155" i="9"/>
  <c r="T154" i="9"/>
  <c r="M154" i="9"/>
  <c r="T153" i="9"/>
  <c r="M153" i="9"/>
  <c r="T152" i="9"/>
  <c r="M152" i="9"/>
  <c r="T151" i="9"/>
  <c r="M151" i="9"/>
  <c r="T150" i="9"/>
  <c r="M150" i="9"/>
  <c r="T149" i="9"/>
  <c r="M149" i="9"/>
  <c r="T148" i="9"/>
  <c r="M148" i="9"/>
  <c r="T147" i="9"/>
  <c r="M147" i="9"/>
  <c r="T146" i="9"/>
  <c r="M146" i="9"/>
  <c r="T145" i="9"/>
  <c r="M145" i="9"/>
  <c r="T144" i="9"/>
  <c r="M144" i="9"/>
  <c r="T143" i="9"/>
  <c r="M143" i="9"/>
  <c r="T142" i="9"/>
  <c r="M142" i="9"/>
  <c r="T141" i="9"/>
  <c r="M141" i="9"/>
  <c r="T140" i="9"/>
  <c r="M140" i="9"/>
  <c r="T139" i="9"/>
  <c r="M139" i="9"/>
  <c r="T138" i="9"/>
  <c r="M138" i="9"/>
  <c r="T137" i="9"/>
  <c r="M137" i="9"/>
  <c r="T136" i="9"/>
  <c r="M136" i="9"/>
  <c r="T135" i="9"/>
  <c r="M135" i="9"/>
  <c r="T134" i="9"/>
  <c r="M134" i="9"/>
  <c r="T133" i="9"/>
  <c r="M133" i="9"/>
  <c r="T132" i="9"/>
  <c r="M132" i="9"/>
  <c r="T131" i="9"/>
  <c r="M131" i="9"/>
  <c r="T130" i="9"/>
  <c r="M130" i="9"/>
  <c r="T129" i="9"/>
  <c r="M129" i="9"/>
  <c r="T128" i="9"/>
  <c r="M128" i="9"/>
  <c r="T127" i="9"/>
  <c r="M127" i="9"/>
  <c r="T126" i="9"/>
  <c r="M126" i="9"/>
  <c r="T125" i="9"/>
  <c r="M125" i="9"/>
  <c r="T124" i="9"/>
  <c r="M124" i="9"/>
  <c r="T123" i="9"/>
  <c r="M123" i="9"/>
  <c r="T122" i="9"/>
  <c r="M122" i="9"/>
  <c r="T121" i="9"/>
  <c r="M121" i="9"/>
  <c r="T120" i="9"/>
  <c r="M120" i="9"/>
  <c r="T119" i="9"/>
  <c r="M119" i="9"/>
  <c r="T118" i="9"/>
  <c r="M118" i="9"/>
  <c r="T117" i="9"/>
  <c r="M117" i="9"/>
  <c r="T116" i="9"/>
  <c r="M116" i="9"/>
  <c r="T115" i="9"/>
  <c r="M115" i="9"/>
  <c r="T114" i="9"/>
  <c r="M114" i="9"/>
  <c r="T113" i="9"/>
  <c r="M113" i="9"/>
  <c r="T112" i="9"/>
  <c r="M112" i="9"/>
  <c r="T111" i="9"/>
  <c r="M111" i="9"/>
  <c r="T110" i="9"/>
  <c r="M110" i="9"/>
  <c r="T109" i="9"/>
  <c r="M109" i="9"/>
  <c r="T108" i="9"/>
  <c r="M108" i="9"/>
  <c r="T107" i="9"/>
  <c r="M107" i="9"/>
  <c r="T106" i="9"/>
  <c r="M106" i="9"/>
  <c r="T105" i="9"/>
  <c r="M105" i="9"/>
  <c r="T104" i="9"/>
  <c r="M104" i="9"/>
  <c r="T103" i="9"/>
  <c r="M103" i="9"/>
  <c r="T102" i="9"/>
  <c r="M102" i="9"/>
  <c r="T101" i="9"/>
  <c r="M101" i="9"/>
  <c r="T100" i="9"/>
  <c r="M100" i="9"/>
  <c r="T99" i="9"/>
  <c r="M99" i="9"/>
  <c r="T98" i="9"/>
  <c r="M98" i="9"/>
  <c r="T97" i="9"/>
  <c r="M97" i="9"/>
  <c r="T96" i="9"/>
  <c r="M96" i="9"/>
  <c r="T95" i="9"/>
  <c r="M95" i="9"/>
  <c r="T94" i="9"/>
  <c r="M94" i="9"/>
  <c r="T93" i="9"/>
  <c r="M93" i="9"/>
  <c r="T92" i="9"/>
  <c r="M92" i="9"/>
  <c r="T91" i="9"/>
  <c r="M91" i="9"/>
  <c r="T90" i="9"/>
  <c r="M90" i="9"/>
  <c r="T89" i="9"/>
  <c r="M89" i="9"/>
  <c r="T88" i="9"/>
  <c r="M88" i="9"/>
  <c r="T87" i="9"/>
  <c r="M87" i="9"/>
  <c r="T86" i="9"/>
  <c r="M86" i="9"/>
  <c r="V85" i="9"/>
  <c r="T85" i="9"/>
  <c r="M85" i="9"/>
  <c r="N85" i="9" s="1"/>
  <c r="T84" i="9"/>
  <c r="M84" i="9"/>
  <c r="T83" i="9"/>
  <c r="M83" i="9"/>
  <c r="T82" i="9"/>
  <c r="M82" i="9"/>
  <c r="T81" i="9"/>
  <c r="M81" i="9"/>
  <c r="T80" i="9"/>
  <c r="M80" i="9"/>
  <c r="T79" i="9"/>
  <c r="M79" i="9"/>
  <c r="T78" i="9"/>
  <c r="M78" i="9"/>
  <c r="T77" i="9"/>
  <c r="M77" i="9"/>
  <c r="T76" i="9"/>
  <c r="M76" i="9"/>
  <c r="T75" i="9"/>
  <c r="M75" i="9"/>
  <c r="T74" i="9"/>
  <c r="M74" i="9"/>
  <c r="T73" i="9"/>
  <c r="M73" i="9"/>
  <c r="T72" i="9"/>
  <c r="M72" i="9"/>
  <c r="T71" i="9"/>
  <c r="M71" i="9"/>
  <c r="T70" i="9"/>
  <c r="M70" i="9"/>
  <c r="T69" i="9"/>
  <c r="M69" i="9"/>
  <c r="T68" i="9"/>
  <c r="M68" i="9"/>
  <c r="T67" i="9"/>
  <c r="M67" i="9"/>
  <c r="T66" i="9"/>
  <c r="M66" i="9"/>
  <c r="T65" i="9"/>
  <c r="M65" i="9"/>
  <c r="T64" i="9"/>
  <c r="M64" i="9"/>
  <c r="T63" i="9"/>
  <c r="M63" i="9"/>
  <c r="T62" i="9"/>
  <c r="M62" i="9"/>
  <c r="T61" i="9"/>
  <c r="M61" i="9"/>
  <c r="T60" i="9"/>
  <c r="M60" i="9"/>
  <c r="T59" i="9"/>
  <c r="M59" i="9"/>
  <c r="T58" i="9"/>
  <c r="M58" i="9"/>
  <c r="T57" i="9"/>
  <c r="M57" i="9"/>
  <c r="T56" i="9"/>
  <c r="M56" i="9"/>
  <c r="T55" i="9"/>
  <c r="M55" i="9"/>
  <c r="T54" i="9"/>
  <c r="M54" i="9"/>
  <c r="T53" i="9"/>
  <c r="M53" i="9"/>
  <c r="T52" i="9"/>
  <c r="M52" i="9"/>
  <c r="T51" i="9"/>
  <c r="M51" i="9"/>
  <c r="T50" i="9"/>
  <c r="M50" i="9"/>
  <c r="T49" i="9"/>
  <c r="M49" i="9"/>
  <c r="T48" i="9"/>
  <c r="M48" i="9"/>
  <c r="T47" i="9"/>
  <c r="M47" i="9"/>
  <c r="T46" i="9"/>
  <c r="M46" i="9"/>
  <c r="T45" i="9"/>
  <c r="M45" i="9"/>
  <c r="T44" i="9"/>
  <c r="M44" i="9"/>
  <c r="T43" i="9"/>
  <c r="M43" i="9"/>
  <c r="T42" i="9"/>
  <c r="M42" i="9"/>
  <c r="T41" i="9"/>
  <c r="M41" i="9"/>
  <c r="T40" i="9"/>
  <c r="M40" i="9"/>
  <c r="T39" i="9"/>
  <c r="M39" i="9"/>
  <c r="T38" i="9"/>
  <c r="M38" i="9"/>
  <c r="T37" i="9"/>
  <c r="M37" i="9"/>
  <c r="T36" i="9"/>
  <c r="M36" i="9"/>
  <c r="T35" i="9"/>
  <c r="M35" i="9"/>
  <c r="T34" i="9"/>
  <c r="M34" i="9"/>
  <c r="T33" i="9"/>
  <c r="M33" i="9"/>
  <c r="T32" i="9"/>
  <c r="M32" i="9"/>
  <c r="T31" i="9"/>
  <c r="M31" i="9"/>
  <c r="T30" i="9"/>
  <c r="M30" i="9"/>
  <c r="T29" i="9"/>
  <c r="M29" i="9"/>
  <c r="T28" i="9"/>
  <c r="M28" i="9"/>
  <c r="T27" i="9"/>
  <c r="M27" i="9"/>
  <c r="T26" i="9"/>
  <c r="M26" i="9"/>
  <c r="T25" i="9"/>
  <c r="M25" i="9"/>
  <c r="T24" i="9"/>
  <c r="M24" i="9"/>
  <c r="T23" i="9"/>
  <c r="M23" i="9"/>
  <c r="T22" i="9"/>
  <c r="M22" i="9"/>
  <c r="T21" i="9"/>
  <c r="M21" i="9"/>
  <c r="T20" i="9"/>
  <c r="M20" i="9"/>
  <c r="T19" i="9"/>
  <c r="M19" i="9"/>
  <c r="T18" i="9"/>
  <c r="M18" i="9"/>
  <c r="T17" i="9"/>
  <c r="M17" i="9"/>
  <c r="T16" i="9"/>
  <c r="M16" i="9"/>
  <c r="T15" i="9"/>
  <c r="M15" i="9"/>
  <c r="T14" i="9"/>
  <c r="M14" i="9"/>
  <c r="T13" i="9"/>
  <c r="M13" i="9"/>
  <c r="T12" i="9"/>
  <c r="M12" i="9"/>
  <c r="T11" i="9"/>
  <c r="M11" i="9"/>
  <c r="T10" i="9"/>
  <c r="M10" i="9"/>
  <c r="T9" i="9"/>
  <c r="M9" i="9"/>
  <c r="T8" i="9"/>
  <c r="M8" i="9"/>
  <c r="T7" i="9"/>
  <c r="M7" i="9"/>
  <c r="T6" i="9"/>
  <c r="M6" i="9"/>
  <c r="T5" i="9"/>
  <c r="M5" i="9"/>
  <c r="T4" i="9"/>
  <c r="M4" i="9"/>
  <c r="T3" i="9"/>
  <c r="M3" i="9"/>
  <c r="T2" i="9"/>
  <c r="M2" i="9"/>
  <c r="K199" i="8"/>
  <c r="G199" i="8"/>
  <c r="F199" i="8"/>
  <c r="E199" i="8"/>
  <c r="K198" i="8"/>
  <c r="H198" i="8"/>
  <c r="G198" i="8"/>
  <c r="F198" i="8"/>
  <c r="E198" i="8"/>
  <c r="K197" i="8"/>
  <c r="H197" i="8"/>
  <c r="G197" i="8"/>
  <c r="F197" i="8"/>
  <c r="E197" i="8"/>
  <c r="K196" i="8"/>
  <c r="H196" i="8"/>
  <c r="G196" i="8"/>
  <c r="F196" i="8"/>
  <c r="E196" i="8"/>
  <c r="K195" i="8"/>
  <c r="H195" i="8"/>
  <c r="G195" i="8"/>
  <c r="F195" i="8"/>
  <c r="E195" i="8"/>
  <c r="K194" i="8"/>
  <c r="H194" i="8"/>
  <c r="G194" i="8"/>
  <c r="F194" i="8"/>
  <c r="E194" i="8"/>
  <c r="K193" i="8"/>
  <c r="H193" i="8"/>
  <c r="G193" i="8"/>
  <c r="F193" i="8"/>
  <c r="E193" i="8"/>
  <c r="K192" i="8"/>
  <c r="H192" i="8"/>
  <c r="G192" i="8"/>
  <c r="F192" i="8"/>
  <c r="E192" i="8"/>
  <c r="K191" i="8"/>
  <c r="H191" i="8"/>
  <c r="G191" i="8"/>
  <c r="F191" i="8"/>
  <c r="E191" i="8"/>
  <c r="K190" i="8"/>
  <c r="H190" i="8"/>
  <c r="G190" i="8"/>
  <c r="F190" i="8"/>
  <c r="E190" i="8"/>
  <c r="K189" i="8"/>
  <c r="H189" i="8"/>
  <c r="G189" i="8"/>
  <c r="F189" i="8"/>
  <c r="E189" i="8"/>
  <c r="K188" i="8"/>
  <c r="H188" i="8"/>
  <c r="G188" i="8"/>
  <c r="F188" i="8"/>
  <c r="E188" i="8"/>
  <c r="K187" i="8"/>
  <c r="H187" i="8"/>
  <c r="G187" i="8"/>
  <c r="F187" i="8"/>
  <c r="E187" i="8"/>
  <c r="K186" i="8"/>
  <c r="H186" i="8"/>
  <c r="G186" i="8"/>
  <c r="F186" i="8"/>
  <c r="E186" i="8"/>
  <c r="K185" i="8"/>
  <c r="H185" i="8"/>
  <c r="G185" i="8"/>
  <c r="F185" i="8"/>
  <c r="E185" i="8"/>
  <c r="K184" i="8"/>
  <c r="H184" i="8"/>
  <c r="G184" i="8"/>
  <c r="F184" i="8"/>
  <c r="E184" i="8"/>
  <c r="K183" i="8"/>
  <c r="H183" i="8"/>
  <c r="G183" i="8"/>
  <c r="F183" i="8"/>
  <c r="E183" i="8"/>
  <c r="K182" i="8"/>
  <c r="H182" i="8"/>
  <c r="G182" i="8"/>
  <c r="F182" i="8"/>
  <c r="E182" i="8"/>
  <c r="K181" i="8"/>
  <c r="H181" i="8"/>
  <c r="G181" i="8"/>
  <c r="F181" i="8"/>
  <c r="E181" i="8"/>
  <c r="K180" i="8"/>
  <c r="H180" i="8"/>
  <c r="G180" i="8"/>
  <c r="F180" i="8"/>
  <c r="E180" i="8"/>
  <c r="K179" i="8"/>
  <c r="H179" i="8"/>
  <c r="G179" i="8"/>
  <c r="F179" i="8"/>
  <c r="E179" i="8"/>
  <c r="K178" i="8"/>
  <c r="H178" i="8"/>
  <c r="G178" i="8"/>
  <c r="F178" i="8"/>
  <c r="E178" i="8"/>
  <c r="K177" i="8"/>
  <c r="H177" i="8"/>
  <c r="G177" i="8"/>
  <c r="F177" i="8"/>
  <c r="E177" i="8"/>
  <c r="K176" i="8"/>
  <c r="H176" i="8"/>
  <c r="G176" i="8"/>
  <c r="F176" i="8"/>
  <c r="E176" i="8"/>
  <c r="K175" i="8"/>
  <c r="H175" i="8"/>
  <c r="G175" i="8"/>
  <c r="F175" i="8"/>
  <c r="E175" i="8"/>
  <c r="K174" i="8"/>
  <c r="H174" i="8"/>
  <c r="G174" i="8"/>
  <c r="F174" i="8"/>
  <c r="E174" i="8"/>
  <c r="K173" i="8"/>
  <c r="H173" i="8"/>
  <c r="G173" i="8"/>
  <c r="F173" i="8"/>
  <c r="E173" i="8"/>
  <c r="K172" i="8"/>
  <c r="H172" i="8"/>
  <c r="G172" i="8"/>
  <c r="F172" i="8"/>
  <c r="E172" i="8"/>
  <c r="K171" i="8"/>
  <c r="H171" i="8"/>
  <c r="G171" i="8"/>
  <c r="F171" i="8"/>
  <c r="E171" i="8"/>
  <c r="K170" i="8"/>
  <c r="H170" i="8"/>
  <c r="G170" i="8"/>
  <c r="F170" i="8"/>
  <c r="E170" i="8"/>
  <c r="K169" i="8"/>
  <c r="H169" i="8"/>
  <c r="G169" i="8"/>
  <c r="F169" i="8"/>
  <c r="E169" i="8"/>
  <c r="K168" i="8"/>
  <c r="H168" i="8"/>
  <c r="G168" i="8"/>
  <c r="F168" i="8"/>
  <c r="E168" i="8"/>
  <c r="K167" i="8"/>
  <c r="H167" i="8"/>
  <c r="G167" i="8"/>
  <c r="F167" i="8"/>
  <c r="E167" i="8"/>
  <c r="K166" i="8"/>
  <c r="H166" i="8"/>
  <c r="G166" i="8"/>
  <c r="F166" i="8"/>
  <c r="E166" i="8"/>
  <c r="K165" i="8"/>
  <c r="H165" i="8"/>
  <c r="G165" i="8"/>
  <c r="F165" i="8"/>
  <c r="E165" i="8"/>
  <c r="K164" i="8"/>
  <c r="H164" i="8"/>
  <c r="G164" i="8"/>
  <c r="F164" i="8"/>
  <c r="E164" i="8"/>
  <c r="K163" i="8"/>
  <c r="H163" i="8"/>
  <c r="G163" i="8"/>
  <c r="F163" i="8"/>
  <c r="E163" i="8"/>
  <c r="K162" i="8"/>
  <c r="H162" i="8"/>
  <c r="G162" i="8"/>
  <c r="F162" i="8"/>
  <c r="E162" i="8"/>
  <c r="K161" i="8"/>
  <c r="H161" i="8"/>
  <c r="G161" i="8"/>
  <c r="F161" i="8"/>
  <c r="E161" i="8"/>
  <c r="K160" i="8"/>
  <c r="H160" i="8"/>
  <c r="G160" i="8"/>
  <c r="F160" i="8"/>
  <c r="E160" i="8"/>
  <c r="K159" i="8"/>
  <c r="H159" i="8"/>
  <c r="G159" i="8"/>
  <c r="F159" i="8"/>
  <c r="E159" i="8"/>
  <c r="K158" i="8"/>
  <c r="H158" i="8"/>
  <c r="G158" i="8"/>
  <c r="F158" i="8"/>
  <c r="E158" i="8"/>
  <c r="K157" i="8"/>
  <c r="H157" i="8"/>
  <c r="G157" i="8"/>
  <c r="F157" i="8"/>
  <c r="E157" i="8"/>
  <c r="K156" i="8"/>
  <c r="H156" i="8"/>
  <c r="G156" i="8"/>
  <c r="F156" i="8"/>
  <c r="E156" i="8"/>
  <c r="K155" i="8"/>
  <c r="H155" i="8"/>
  <c r="G155" i="8"/>
  <c r="F155" i="8"/>
  <c r="E155" i="8"/>
  <c r="K154" i="8"/>
  <c r="H154" i="8"/>
  <c r="G154" i="8"/>
  <c r="F154" i="8"/>
  <c r="E154" i="8"/>
  <c r="K153" i="8"/>
  <c r="H153" i="8"/>
  <c r="G153" i="8"/>
  <c r="F153" i="8"/>
  <c r="E153" i="8"/>
  <c r="N152" i="8"/>
  <c r="M152" i="8"/>
  <c r="I75" i="2" s="1"/>
  <c r="L152" i="8"/>
  <c r="H75" i="2" s="1"/>
  <c r="K152" i="8"/>
  <c r="H152" i="8"/>
  <c r="G152" i="8"/>
  <c r="F152" i="8"/>
  <c r="E152" i="8"/>
  <c r="N151" i="8"/>
  <c r="M151" i="8"/>
  <c r="I184" i="2" s="1"/>
  <c r="L151" i="8"/>
  <c r="H184" i="2" s="1"/>
  <c r="K151" i="8"/>
  <c r="H151" i="8"/>
  <c r="G151" i="8"/>
  <c r="F151" i="8"/>
  <c r="E151" i="8"/>
  <c r="K150" i="8"/>
  <c r="H150" i="8"/>
  <c r="G150" i="8"/>
  <c r="F150" i="8"/>
  <c r="E150" i="8"/>
  <c r="K149" i="8"/>
  <c r="H149" i="8"/>
  <c r="G149" i="8"/>
  <c r="F149" i="8"/>
  <c r="E149" i="8"/>
  <c r="K148" i="8"/>
  <c r="H148" i="8"/>
  <c r="G148" i="8"/>
  <c r="F148" i="8"/>
  <c r="E148" i="8"/>
  <c r="K147" i="8"/>
  <c r="H147" i="8"/>
  <c r="G147" i="8"/>
  <c r="F147" i="8"/>
  <c r="E147" i="8"/>
  <c r="K146" i="8"/>
  <c r="H146" i="8"/>
  <c r="G146" i="8"/>
  <c r="F146" i="8"/>
  <c r="E146" i="8"/>
  <c r="K145" i="8"/>
  <c r="H145" i="8"/>
  <c r="G145" i="8"/>
  <c r="F145" i="8"/>
  <c r="E145" i="8"/>
  <c r="K144" i="8"/>
  <c r="H144" i="8"/>
  <c r="G144" i="8"/>
  <c r="F144" i="8"/>
  <c r="E144" i="8"/>
  <c r="K143" i="8"/>
  <c r="H143" i="8"/>
  <c r="G143" i="8"/>
  <c r="F143" i="8"/>
  <c r="E143" i="8"/>
  <c r="K142" i="8"/>
  <c r="H142" i="8"/>
  <c r="G142" i="8"/>
  <c r="F142" i="8"/>
  <c r="E142" i="8"/>
  <c r="K141" i="8"/>
  <c r="H141" i="8"/>
  <c r="G141" i="8"/>
  <c r="F141" i="8"/>
  <c r="E141" i="8"/>
  <c r="K140" i="8"/>
  <c r="H140" i="8"/>
  <c r="G140" i="8"/>
  <c r="F140" i="8"/>
  <c r="E140" i="8"/>
  <c r="K139" i="8"/>
  <c r="H139" i="8"/>
  <c r="G139" i="8"/>
  <c r="F139" i="8"/>
  <c r="E139" i="8"/>
  <c r="K138" i="8"/>
  <c r="H138" i="8"/>
  <c r="G138" i="8"/>
  <c r="F138" i="8"/>
  <c r="E138" i="8"/>
  <c r="K137" i="8"/>
  <c r="H137" i="8"/>
  <c r="G137" i="8"/>
  <c r="F137" i="8"/>
  <c r="E137" i="8"/>
  <c r="K136" i="8"/>
  <c r="H136" i="8"/>
  <c r="G136" i="8"/>
  <c r="F136" i="8"/>
  <c r="E136" i="8"/>
  <c r="K135" i="8"/>
  <c r="H135" i="8"/>
  <c r="G135" i="8"/>
  <c r="F135" i="8"/>
  <c r="E135" i="8"/>
  <c r="K134" i="8"/>
  <c r="H134" i="8"/>
  <c r="G134" i="8"/>
  <c r="F134" i="8"/>
  <c r="E134" i="8"/>
  <c r="K133" i="8"/>
  <c r="H133" i="8"/>
  <c r="G133" i="8"/>
  <c r="F133" i="8"/>
  <c r="E133" i="8"/>
  <c r="K132" i="8"/>
  <c r="H132" i="8"/>
  <c r="G132" i="8"/>
  <c r="F132" i="8"/>
  <c r="E132" i="8"/>
  <c r="K131" i="8"/>
  <c r="H131" i="8"/>
  <c r="G131" i="8"/>
  <c r="F131" i="8"/>
  <c r="E131" i="8"/>
  <c r="K130" i="8"/>
  <c r="H130" i="8"/>
  <c r="G130" i="8"/>
  <c r="F130" i="8"/>
  <c r="E130" i="8"/>
  <c r="K129" i="8"/>
  <c r="H129" i="8"/>
  <c r="G129" i="8"/>
  <c r="F129" i="8"/>
  <c r="E129" i="8"/>
  <c r="K128" i="8"/>
  <c r="H128" i="8"/>
  <c r="G128" i="8"/>
  <c r="F128" i="8"/>
  <c r="E128" i="8"/>
  <c r="K127" i="8"/>
  <c r="H127" i="8"/>
  <c r="G127" i="8"/>
  <c r="F127" i="8"/>
  <c r="E127" i="8"/>
  <c r="K126" i="8"/>
  <c r="H126" i="8"/>
  <c r="G126" i="8"/>
  <c r="F126" i="8"/>
  <c r="E126" i="8"/>
  <c r="K125" i="8"/>
  <c r="H125" i="8"/>
  <c r="G125" i="8"/>
  <c r="F125" i="8"/>
  <c r="E125" i="8"/>
  <c r="K124" i="8"/>
  <c r="H124" i="8"/>
  <c r="G124" i="8"/>
  <c r="F124" i="8"/>
  <c r="E124" i="8"/>
  <c r="K123" i="8"/>
  <c r="H123" i="8"/>
  <c r="G123" i="8"/>
  <c r="F123" i="8"/>
  <c r="E123" i="8"/>
  <c r="K122" i="8"/>
  <c r="H122" i="8"/>
  <c r="G122" i="8"/>
  <c r="F122" i="8"/>
  <c r="E122" i="8"/>
  <c r="K121" i="8"/>
  <c r="H121" i="8"/>
  <c r="G121" i="8"/>
  <c r="F121" i="8"/>
  <c r="E121" i="8"/>
  <c r="K120" i="8"/>
  <c r="H120" i="8"/>
  <c r="G120" i="8"/>
  <c r="F120" i="8"/>
  <c r="E120" i="8"/>
  <c r="K119" i="8"/>
  <c r="H119" i="8"/>
  <c r="G119" i="8"/>
  <c r="F119" i="8"/>
  <c r="E119" i="8"/>
  <c r="K118" i="8"/>
  <c r="H118" i="8"/>
  <c r="G118" i="8"/>
  <c r="F118" i="8"/>
  <c r="E118" i="8"/>
  <c r="K117" i="8"/>
  <c r="H117" i="8"/>
  <c r="G117" i="8"/>
  <c r="F117" i="8"/>
  <c r="E117" i="8"/>
  <c r="K116" i="8"/>
  <c r="H116" i="8"/>
  <c r="G116" i="8"/>
  <c r="F116" i="8"/>
  <c r="E116" i="8"/>
  <c r="K115" i="8"/>
  <c r="H115" i="8"/>
  <c r="G115" i="8"/>
  <c r="F115" i="8"/>
  <c r="E115" i="8"/>
  <c r="K114" i="8"/>
  <c r="H114" i="8"/>
  <c r="G114" i="8"/>
  <c r="F114" i="8"/>
  <c r="E114" i="8"/>
  <c r="K113" i="8"/>
  <c r="H113" i="8"/>
  <c r="G113" i="8"/>
  <c r="F113" i="8"/>
  <c r="E113" i="8"/>
  <c r="K112" i="8"/>
  <c r="H112" i="8"/>
  <c r="G112" i="8"/>
  <c r="F112" i="8"/>
  <c r="E112" i="8"/>
  <c r="K111" i="8"/>
  <c r="H111" i="8"/>
  <c r="G111" i="8"/>
  <c r="F111" i="8"/>
  <c r="E111" i="8"/>
  <c r="K110" i="8"/>
  <c r="H110" i="8"/>
  <c r="G110" i="8"/>
  <c r="F110" i="8"/>
  <c r="E110" i="8"/>
  <c r="K109" i="8"/>
  <c r="H109" i="8"/>
  <c r="G109" i="8"/>
  <c r="F109" i="8"/>
  <c r="E109" i="8"/>
  <c r="K108" i="8"/>
  <c r="H108" i="8"/>
  <c r="G108" i="8"/>
  <c r="F108" i="8"/>
  <c r="E108" i="8"/>
  <c r="K107" i="8"/>
  <c r="H107" i="8"/>
  <c r="G107" i="8"/>
  <c r="F107" i="8"/>
  <c r="E107" i="8"/>
  <c r="K106" i="8"/>
  <c r="H106" i="8"/>
  <c r="G106" i="8"/>
  <c r="F106" i="8"/>
  <c r="E106" i="8"/>
  <c r="K105" i="8"/>
  <c r="H105" i="8"/>
  <c r="G105" i="8"/>
  <c r="F105" i="8"/>
  <c r="E105" i="8"/>
  <c r="K104" i="8"/>
  <c r="H104" i="8"/>
  <c r="G104" i="8"/>
  <c r="F104" i="8"/>
  <c r="E104" i="8"/>
  <c r="K103" i="8"/>
  <c r="H103" i="8"/>
  <c r="G103" i="8"/>
  <c r="F103" i="8"/>
  <c r="E103" i="8"/>
  <c r="K102" i="8"/>
  <c r="H102" i="8"/>
  <c r="G102" i="8"/>
  <c r="F102" i="8"/>
  <c r="E102" i="8"/>
  <c r="K101" i="8"/>
  <c r="H101" i="8"/>
  <c r="G101" i="8"/>
  <c r="F101" i="8"/>
  <c r="E101" i="8"/>
  <c r="K100" i="8"/>
  <c r="H100" i="8"/>
  <c r="G100" i="8"/>
  <c r="F100" i="8"/>
  <c r="E100" i="8"/>
  <c r="K99" i="8"/>
  <c r="H99" i="8"/>
  <c r="G99" i="8"/>
  <c r="F99" i="8"/>
  <c r="E99" i="8"/>
  <c r="K98" i="8"/>
  <c r="H98" i="8"/>
  <c r="G98" i="8"/>
  <c r="F98" i="8"/>
  <c r="E98" i="8"/>
  <c r="K97" i="8"/>
  <c r="H97" i="8"/>
  <c r="G97" i="8"/>
  <c r="F97" i="8"/>
  <c r="E97" i="8"/>
  <c r="K96" i="8"/>
  <c r="H96" i="8"/>
  <c r="G96" i="8"/>
  <c r="F96" i="8"/>
  <c r="E96" i="8"/>
  <c r="K95" i="8"/>
  <c r="H95" i="8"/>
  <c r="G95" i="8"/>
  <c r="F95" i="8"/>
  <c r="E95" i="8"/>
  <c r="K94" i="8"/>
  <c r="H94" i="8"/>
  <c r="G94" i="8"/>
  <c r="F94" i="8"/>
  <c r="E94" i="8"/>
  <c r="K93" i="8"/>
  <c r="H93" i="8"/>
  <c r="G93" i="8"/>
  <c r="F93" i="8"/>
  <c r="E93" i="8"/>
  <c r="K92" i="8"/>
  <c r="H92" i="8"/>
  <c r="G92" i="8"/>
  <c r="F92" i="8"/>
  <c r="E92" i="8"/>
  <c r="K91" i="8"/>
  <c r="H91" i="8"/>
  <c r="G91" i="8"/>
  <c r="F91" i="8"/>
  <c r="E91" i="8"/>
  <c r="K90" i="8"/>
  <c r="H90" i="8"/>
  <c r="G90" i="8"/>
  <c r="F90" i="8"/>
  <c r="E90" i="8"/>
  <c r="K89" i="8"/>
  <c r="H89" i="8"/>
  <c r="G89" i="8"/>
  <c r="F89" i="8"/>
  <c r="E89" i="8"/>
  <c r="K88" i="8"/>
  <c r="H88" i="8"/>
  <c r="G88" i="8"/>
  <c r="F88" i="8"/>
  <c r="E88" i="8"/>
  <c r="K87" i="8"/>
  <c r="H87" i="8"/>
  <c r="G87" i="8"/>
  <c r="F87" i="8"/>
  <c r="E87" i="8"/>
  <c r="K86" i="8"/>
  <c r="H86" i="8"/>
  <c r="G86" i="8"/>
  <c r="F86" i="8"/>
  <c r="E86" i="8"/>
  <c r="K85" i="8"/>
  <c r="H85" i="8"/>
  <c r="G85" i="8"/>
  <c r="F85" i="8"/>
  <c r="E85" i="8"/>
  <c r="K84" i="8"/>
  <c r="H84" i="8"/>
  <c r="G84" i="8"/>
  <c r="F84" i="8"/>
  <c r="E84" i="8"/>
  <c r="K83" i="8"/>
  <c r="H83" i="8"/>
  <c r="G83" i="8"/>
  <c r="F83" i="8"/>
  <c r="E83" i="8"/>
  <c r="K82" i="8"/>
  <c r="H82" i="8"/>
  <c r="G82" i="8"/>
  <c r="F82" i="8"/>
  <c r="E82" i="8"/>
  <c r="K81" i="8"/>
  <c r="H81" i="8"/>
  <c r="G81" i="8"/>
  <c r="F81" i="8"/>
  <c r="E81" i="8"/>
  <c r="K80" i="8"/>
  <c r="H80" i="8"/>
  <c r="G80" i="8"/>
  <c r="F80" i="8"/>
  <c r="E80" i="8"/>
  <c r="K79" i="8"/>
  <c r="H79" i="8"/>
  <c r="G79" i="8"/>
  <c r="F79" i="8"/>
  <c r="E79" i="8"/>
  <c r="K78" i="8"/>
  <c r="H78" i="8"/>
  <c r="G78" i="8"/>
  <c r="F78" i="8"/>
  <c r="E78" i="8"/>
  <c r="K77" i="8"/>
  <c r="H77" i="8"/>
  <c r="G77" i="8"/>
  <c r="F77" i="8"/>
  <c r="E77" i="8"/>
  <c r="K76" i="8"/>
  <c r="H76" i="8"/>
  <c r="G76" i="8"/>
  <c r="F76" i="8"/>
  <c r="E76" i="8"/>
  <c r="K75" i="8"/>
  <c r="H75" i="8"/>
  <c r="G75" i="8"/>
  <c r="F75" i="8"/>
  <c r="E75" i="8"/>
  <c r="K74" i="8"/>
  <c r="H74" i="8"/>
  <c r="G74" i="8"/>
  <c r="F74" i="8"/>
  <c r="E74" i="8"/>
  <c r="K73" i="8"/>
  <c r="H73" i="8"/>
  <c r="G73" i="8"/>
  <c r="F73" i="8"/>
  <c r="E73" i="8"/>
  <c r="K72" i="8"/>
  <c r="H72" i="8"/>
  <c r="G72" i="8"/>
  <c r="F72" i="8"/>
  <c r="E72" i="8"/>
  <c r="K71" i="8"/>
  <c r="H71" i="8"/>
  <c r="G71" i="8"/>
  <c r="F71" i="8"/>
  <c r="E71" i="8"/>
  <c r="K70" i="8"/>
  <c r="H70" i="8"/>
  <c r="G70" i="8"/>
  <c r="F70" i="8"/>
  <c r="E70" i="8"/>
  <c r="K69" i="8"/>
  <c r="H69" i="8"/>
  <c r="G69" i="8"/>
  <c r="F69" i="8"/>
  <c r="E69" i="8"/>
  <c r="K68" i="8"/>
  <c r="H68" i="8"/>
  <c r="G68" i="8"/>
  <c r="F68" i="8"/>
  <c r="E68" i="8"/>
  <c r="K67" i="8"/>
  <c r="H67" i="8"/>
  <c r="G67" i="8"/>
  <c r="F67" i="8"/>
  <c r="E67" i="8"/>
  <c r="K66" i="8"/>
  <c r="H66" i="8"/>
  <c r="G66" i="8"/>
  <c r="F66" i="8"/>
  <c r="E66" i="8"/>
  <c r="K65" i="8"/>
  <c r="H65" i="8"/>
  <c r="G65" i="8"/>
  <c r="F65" i="8"/>
  <c r="E65" i="8"/>
  <c r="K64" i="8"/>
  <c r="H64" i="8"/>
  <c r="G64" i="8"/>
  <c r="F64" i="8"/>
  <c r="E64" i="8"/>
  <c r="K63" i="8"/>
  <c r="K205" i="8" s="1"/>
  <c r="H63" i="8"/>
  <c r="G63" i="8"/>
  <c r="G205" i="8" s="1"/>
  <c r="F63" i="8"/>
  <c r="F205" i="8" s="1"/>
  <c r="E63" i="8"/>
  <c r="R62" i="8"/>
  <c r="K62" i="8"/>
  <c r="H62" i="8"/>
  <c r="G62" i="8"/>
  <c r="F62" i="8"/>
  <c r="E62" i="8"/>
  <c r="R61" i="8"/>
  <c r="K61" i="8"/>
  <c r="H61" i="8"/>
  <c r="G61" i="8"/>
  <c r="F61" i="8"/>
  <c r="E61" i="8"/>
  <c r="R60" i="8"/>
  <c r="K60" i="8"/>
  <c r="H60" i="8"/>
  <c r="G60" i="8"/>
  <c r="F60" i="8"/>
  <c r="E60" i="8"/>
  <c r="R59" i="8"/>
  <c r="K59" i="8"/>
  <c r="H59" i="8"/>
  <c r="G59" i="8"/>
  <c r="F59" i="8"/>
  <c r="E59" i="8"/>
  <c r="R58" i="8"/>
  <c r="K58" i="8"/>
  <c r="H58" i="8"/>
  <c r="G58" i="8"/>
  <c r="F58" i="8"/>
  <c r="E58" i="8"/>
  <c r="R57" i="8"/>
  <c r="K57" i="8"/>
  <c r="H57" i="8"/>
  <c r="G57" i="8"/>
  <c r="F57" i="8"/>
  <c r="E57" i="8"/>
  <c r="R56" i="8"/>
  <c r="K56" i="8"/>
  <c r="H56" i="8"/>
  <c r="G56" i="8"/>
  <c r="F56" i="8"/>
  <c r="E56" i="8"/>
  <c r="R55" i="8"/>
  <c r="K55" i="8"/>
  <c r="H55" i="8"/>
  <c r="G55" i="8"/>
  <c r="F55" i="8"/>
  <c r="E55" i="8"/>
  <c r="R54" i="8"/>
  <c r="K54" i="8"/>
  <c r="H54" i="8"/>
  <c r="G54" i="8"/>
  <c r="F54" i="8"/>
  <c r="E54" i="8"/>
  <c r="R53" i="8"/>
  <c r="K53" i="8"/>
  <c r="H53" i="8"/>
  <c r="G53" i="8"/>
  <c r="F53" i="8"/>
  <c r="E53" i="8"/>
  <c r="R52" i="8"/>
  <c r="K52" i="8"/>
  <c r="H52" i="8"/>
  <c r="G52" i="8"/>
  <c r="F52" i="8"/>
  <c r="E52" i="8"/>
  <c r="R51" i="8"/>
  <c r="K51" i="8"/>
  <c r="H51" i="8"/>
  <c r="G51" i="8"/>
  <c r="F51" i="8"/>
  <c r="E51" i="8"/>
  <c r="R50" i="8"/>
  <c r="K50" i="8"/>
  <c r="H50" i="8"/>
  <c r="G50" i="8"/>
  <c r="F50" i="8"/>
  <c r="E50" i="8"/>
  <c r="R49" i="8"/>
  <c r="K49" i="8"/>
  <c r="H49" i="8"/>
  <c r="G49" i="8"/>
  <c r="F49" i="8"/>
  <c r="E49" i="8"/>
  <c r="R48" i="8"/>
  <c r="K48" i="8"/>
  <c r="H48" i="8"/>
  <c r="G48" i="8"/>
  <c r="F48" i="8"/>
  <c r="E48" i="8"/>
  <c r="R47" i="8"/>
  <c r="K47" i="8"/>
  <c r="H47" i="8"/>
  <c r="G47" i="8"/>
  <c r="F47" i="8"/>
  <c r="E47" i="8"/>
  <c r="R46" i="8"/>
  <c r="K46" i="8"/>
  <c r="H46" i="8"/>
  <c r="G46" i="8"/>
  <c r="F46" i="8"/>
  <c r="E46" i="8"/>
  <c r="R45" i="8"/>
  <c r="K45" i="8"/>
  <c r="H45" i="8"/>
  <c r="G45" i="8"/>
  <c r="F45" i="8"/>
  <c r="E45" i="8"/>
  <c r="R44" i="8"/>
  <c r="K44" i="8"/>
  <c r="H44" i="8"/>
  <c r="G44" i="8"/>
  <c r="F44" i="8"/>
  <c r="E44" i="8"/>
  <c r="R43" i="8"/>
  <c r="K43" i="8"/>
  <c r="H43" i="8"/>
  <c r="G43" i="8"/>
  <c r="F43" i="8"/>
  <c r="E43" i="8"/>
  <c r="R42" i="8"/>
  <c r="K42" i="8"/>
  <c r="H42" i="8"/>
  <c r="G42" i="8"/>
  <c r="F42" i="8"/>
  <c r="E42" i="8"/>
  <c r="R41" i="8"/>
  <c r="K41" i="8"/>
  <c r="H41" i="8"/>
  <c r="G41" i="8"/>
  <c r="F41" i="8"/>
  <c r="E41" i="8"/>
  <c r="R40" i="8"/>
  <c r="K40" i="8"/>
  <c r="G40" i="8"/>
  <c r="F40" i="8"/>
  <c r="E40" i="8"/>
  <c r="R39" i="8"/>
  <c r="K39" i="8"/>
  <c r="H39" i="8"/>
  <c r="G39" i="8"/>
  <c r="F39" i="8"/>
  <c r="E39" i="8"/>
  <c r="R38" i="8"/>
  <c r="K38" i="8"/>
  <c r="H38" i="8"/>
  <c r="G38" i="8"/>
  <c r="F38" i="8"/>
  <c r="E38" i="8"/>
  <c r="R37" i="8"/>
  <c r="K37" i="8"/>
  <c r="H37" i="8"/>
  <c r="G37" i="8"/>
  <c r="F37" i="8"/>
  <c r="E37" i="8"/>
  <c r="R36" i="8"/>
  <c r="K36" i="8"/>
  <c r="H36" i="8"/>
  <c r="G36" i="8"/>
  <c r="F36" i="8"/>
  <c r="E36" i="8"/>
  <c r="R35" i="8"/>
  <c r="K35" i="8"/>
  <c r="H35" i="8"/>
  <c r="G35" i="8"/>
  <c r="F35" i="8"/>
  <c r="E35" i="8"/>
  <c r="R34" i="8"/>
  <c r="K34" i="8"/>
  <c r="H34" i="8"/>
  <c r="G34" i="8"/>
  <c r="F34" i="8"/>
  <c r="E34" i="8"/>
  <c r="R33" i="8"/>
  <c r="K33" i="8"/>
  <c r="H33" i="8"/>
  <c r="G33" i="8"/>
  <c r="F33" i="8"/>
  <c r="E33" i="8"/>
  <c r="R32" i="8"/>
  <c r="K32" i="8"/>
  <c r="H32" i="8"/>
  <c r="G32" i="8"/>
  <c r="F32" i="8"/>
  <c r="E32" i="8"/>
  <c r="R31" i="8"/>
  <c r="K31" i="8"/>
  <c r="H31" i="8"/>
  <c r="G31" i="8"/>
  <c r="F31" i="8"/>
  <c r="E31" i="8"/>
  <c r="R30" i="8"/>
  <c r="K30" i="8"/>
  <c r="H30" i="8"/>
  <c r="G30" i="8"/>
  <c r="F30" i="8"/>
  <c r="E30" i="8"/>
  <c r="R29" i="8"/>
  <c r="K29" i="8"/>
  <c r="H29" i="8"/>
  <c r="G29" i="8"/>
  <c r="F29" i="8"/>
  <c r="E29" i="8"/>
  <c r="R28" i="8"/>
  <c r="K28" i="8"/>
  <c r="H28" i="8"/>
  <c r="G28" i="8"/>
  <c r="F28" i="8"/>
  <c r="E28" i="8"/>
  <c r="R27" i="8"/>
  <c r="K27" i="8"/>
  <c r="H27" i="8"/>
  <c r="G27" i="8"/>
  <c r="F27" i="8"/>
  <c r="E27" i="8"/>
  <c r="R26" i="8"/>
  <c r="K26" i="8"/>
  <c r="H26" i="8"/>
  <c r="G26" i="8"/>
  <c r="F26" i="8"/>
  <c r="E26" i="8"/>
  <c r="R25" i="8"/>
  <c r="K25" i="8"/>
  <c r="H25" i="8"/>
  <c r="G25" i="8"/>
  <c r="F25" i="8"/>
  <c r="E25" i="8"/>
  <c r="R24" i="8"/>
  <c r="K24" i="8"/>
  <c r="H24" i="8"/>
  <c r="G24" i="8"/>
  <c r="F24" i="8"/>
  <c r="E24" i="8"/>
  <c r="R23" i="8"/>
  <c r="K23" i="8"/>
  <c r="H23" i="8"/>
  <c r="G23" i="8"/>
  <c r="F23" i="8"/>
  <c r="E23" i="8"/>
  <c r="R22" i="8"/>
  <c r="K22" i="8"/>
  <c r="H22" i="8"/>
  <c r="G22" i="8"/>
  <c r="F22" i="8"/>
  <c r="E22" i="8"/>
  <c r="R21" i="8"/>
  <c r="K21" i="8"/>
  <c r="H21" i="8"/>
  <c r="G21" i="8"/>
  <c r="F21" i="8"/>
  <c r="E21" i="8"/>
  <c r="R20" i="8"/>
  <c r="K20" i="8"/>
  <c r="H20" i="8"/>
  <c r="G20" i="8"/>
  <c r="F20" i="8"/>
  <c r="E20" i="8"/>
  <c r="R19" i="8"/>
  <c r="K19" i="8"/>
  <c r="H19" i="8"/>
  <c r="G19" i="8"/>
  <c r="F19" i="8"/>
  <c r="E19" i="8"/>
  <c r="R18" i="8"/>
  <c r="K18" i="8"/>
  <c r="H18" i="8"/>
  <c r="G18" i="8"/>
  <c r="F18" i="8"/>
  <c r="E18" i="8"/>
  <c r="R17" i="8"/>
  <c r="K17" i="8"/>
  <c r="H17" i="8"/>
  <c r="G17" i="8"/>
  <c r="F17" i="8"/>
  <c r="E17" i="8"/>
  <c r="R16" i="8"/>
  <c r="K16" i="8"/>
  <c r="H16" i="8"/>
  <c r="G16" i="8"/>
  <c r="F16" i="8"/>
  <c r="E16" i="8"/>
  <c r="R15" i="8"/>
  <c r="K15" i="8"/>
  <c r="H15" i="8"/>
  <c r="G15" i="8"/>
  <c r="F15" i="8"/>
  <c r="E15" i="8"/>
  <c r="R14" i="8"/>
  <c r="K14" i="8"/>
  <c r="H14" i="8"/>
  <c r="G14" i="8"/>
  <c r="F14" i="8"/>
  <c r="E14" i="8"/>
  <c r="R13" i="8"/>
  <c r="K13" i="8"/>
  <c r="H13" i="8"/>
  <c r="G13" i="8"/>
  <c r="F13" i="8"/>
  <c r="E13" i="8"/>
  <c r="R12" i="8"/>
  <c r="K12" i="8"/>
  <c r="H12" i="8"/>
  <c r="G12" i="8"/>
  <c r="F12" i="8"/>
  <c r="E12" i="8"/>
  <c r="R11" i="8"/>
  <c r="K11" i="8"/>
  <c r="H11" i="8"/>
  <c r="G11" i="8"/>
  <c r="F11" i="8"/>
  <c r="E11" i="8"/>
  <c r="R10" i="8"/>
  <c r="K10" i="8"/>
  <c r="H10" i="8"/>
  <c r="G10" i="8"/>
  <c r="F10" i="8"/>
  <c r="E10" i="8"/>
  <c r="R9" i="8"/>
  <c r="K9" i="8"/>
  <c r="H9" i="8"/>
  <c r="G9" i="8"/>
  <c r="F9" i="8"/>
  <c r="E9" i="8"/>
  <c r="R8" i="8"/>
  <c r="K8" i="8"/>
  <c r="H8" i="8"/>
  <c r="G8" i="8"/>
  <c r="F8" i="8"/>
  <c r="E8" i="8"/>
  <c r="R7" i="8"/>
  <c r="K7" i="8"/>
  <c r="H7" i="8"/>
  <c r="G7" i="8"/>
  <c r="F7" i="8"/>
  <c r="E7" i="8"/>
  <c r="R6" i="8"/>
  <c r="K6" i="8"/>
  <c r="H6" i="8"/>
  <c r="G6" i="8"/>
  <c r="F6" i="8"/>
  <c r="E6" i="8"/>
  <c r="R5" i="8"/>
  <c r="K5" i="8"/>
  <c r="H5" i="8"/>
  <c r="G5" i="8"/>
  <c r="F5" i="8"/>
  <c r="E5" i="8"/>
  <c r="H213" i="6"/>
  <c r="I213" i="6" s="1"/>
  <c r="W166" i="4" s="1"/>
  <c r="H212" i="6"/>
  <c r="I212" i="6" s="1"/>
  <c r="W157" i="4" s="1"/>
  <c r="H211" i="6"/>
  <c r="I211" i="6" s="1"/>
  <c r="W189" i="4" s="1"/>
  <c r="H210" i="6"/>
  <c r="I210" i="6" s="1"/>
  <c r="W45" i="4" s="1"/>
  <c r="H209" i="6"/>
  <c r="I209" i="6" s="1"/>
  <c r="H208" i="6"/>
  <c r="I208" i="6" s="1"/>
  <c r="W75" i="4" s="1"/>
  <c r="H207" i="6"/>
  <c r="I207" i="6" s="1"/>
  <c r="W19" i="4" s="1"/>
  <c r="H206" i="6"/>
  <c r="I206" i="6" s="1"/>
  <c r="H205" i="6"/>
  <c r="I205" i="6" s="1"/>
  <c r="W117" i="4" s="1"/>
  <c r="H204" i="6"/>
  <c r="I204" i="6" s="1"/>
  <c r="H203" i="6"/>
  <c r="I203" i="6" s="1"/>
  <c r="W116" i="4" s="1"/>
  <c r="H202" i="6"/>
  <c r="I202" i="6" s="1"/>
  <c r="W83" i="4" s="1"/>
  <c r="H201" i="6"/>
  <c r="I201" i="6" s="1"/>
  <c r="H200" i="6"/>
  <c r="I200" i="6" s="1"/>
  <c r="H199" i="6"/>
  <c r="I199" i="6" s="1"/>
  <c r="H198" i="6"/>
  <c r="I198" i="6" s="1"/>
  <c r="W17" i="4" s="1"/>
  <c r="H197" i="6"/>
  <c r="I197" i="6" s="1"/>
  <c r="H196" i="6"/>
  <c r="I196" i="6" s="1"/>
  <c r="W35" i="4" s="1"/>
  <c r="H195" i="6"/>
  <c r="I195" i="6" s="1"/>
  <c r="H194" i="6"/>
  <c r="I194" i="6" s="1"/>
  <c r="H193" i="6"/>
  <c r="I193" i="6" s="1"/>
  <c r="H192" i="6"/>
  <c r="I192" i="6" s="1"/>
  <c r="W16" i="4" s="1"/>
  <c r="H191" i="6"/>
  <c r="I191" i="6" s="1"/>
  <c r="W178" i="4" s="1"/>
  <c r="H190" i="6"/>
  <c r="I190" i="6" s="1"/>
  <c r="H189" i="6"/>
  <c r="I189" i="6" s="1"/>
  <c r="W29" i="4" s="1"/>
  <c r="H188" i="6"/>
  <c r="I188" i="6" s="1"/>
  <c r="H187" i="6"/>
  <c r="I187" i="6" s="1"/>
  <c r="W69" i="4" s="1"/>
  <c r="H186" i="6"/>
  <c r="I186" i="6" s="1"/>
  <c r="W43" i="4" s="1"/>
  <c r="I185" i="6"/>
  <c r="W158" i="4" s="1"/>
  <c r="H185" i="6"/>
  <c r="H184" i="6"/>
  <c r="I184" i="6" s="1"/>
  <c r="W26" i="4" s="1"/>
  <c r="H183" i="6"/>
  <c r="I183" i="6" s="1"/>
  <c r="W56" i="4" s="1"/>
  <c r="H182" i="6"/>
  <c r="I182" i="6" s="1"/>
  <c r="H181" i="6"/>
  <c r="I181" i="6" s="1"/>
  <c r="W32" i="4" s="1"/>
  <c r="H180" i="6"/>
  <c r="I180" i="6" s="1"/>
  <c r="H179" i="6"/>
  <c r="I179" i="6" s="1"/>
  <c r="W13" i="4" s="1"/>
  <c r="H178" i="6"/>
  <c r="I178" i="6" s="1"/>
  <c r="H177" i="6"/>
  <c r="I177" i="6" s="1"/>
  <c r="H176" i="6"/>
  <c r="I176" i="6" s="1"/>
  <c r="W11" i="4" s="1"/>
  <c r="H175" i="6"/>
  <c r="I175" i="6" s="1"/>
  <c r="W60" i="4" s="1"/>
  <c r="H174" i="6"/>
  <c r="I174" i="6" s="1"/>
  <c r="W175" i="4" s="1"/>
  <c r="H173" i="6"/>
  <c r="I173" i="6" s="1"/>
  <c r="W82" i="4" s="1"/>
  <c r="H172" i="6"/>
  <c r="I172" i="6" s="1"/>
  <c r="W33" i="4" s="1"/>
  <c r="H171" i="6"/>
  <c r="I171" i="6" s="1"/>
  <c r="W153" i="4" s="1"/>
  <c r="H170" i="6"/>
  <c r="I170" i="6" s="1"/>
  <c r="W152" i="4" s="1"/>
  <c r="H169" i="6"/>
  <c r="I169" i="6" s="1"/>
  <c r="W136" i="4" s="1"/>
  <c r="H168" i="6"/>
  <c r="I168" i="6" s="1"/>
  <c r="W164" i="4" s="1"/>
  <c r="H167" i="6"/>
  <c r="I167" i="6" s="1"/>
  <c r="H166" i="6"/>
  <c r="I166" i="6" s="1"/>
  <c r="W68" i="4" s="1"/>
  <c r="H165" i="6"/>
  <c r="I165" i="6" s="1"/>
  <c r="W54" i="4" s="1"/>
  <c r="H164" i="6"/>
  <c r="I164" i="6" s="1"/>
  <c r="W20" i="4" s="1"/>
  <c r="H163" i="6"/>
  <c r="I163" i="6" s="1"/>
  <c r="W14" i="4" s="1"/>
  <c r="H162" i="6"/>
  <c r="I162" i="6" s="1"/>
  <c r="W41" i="4" s="1"/>
  <c r="H161" i="6"/>
  <c r="I161" i="6" s="1"/>
  <c r="W40" i="4" s="1"/>
  <c r="H160" i="6"/>
  <c r="I160" i="6" s="1"/>
  <c r="W174" i="4" s="1"/>
  <c r="H159" i="6"/>
  <c r="I159" i="6" s="1"/>
  <c r="W84" i="4" s="1"/>
  <c r="H158" i="6"/>
  <c r="I158" i="6" s="1"/>
  <c r="H157" i="6"/>
  <c r="I157" i="6" s="1"/>
  <c r="W15" i="4" s="1"/>
  <c r="H156" i="6"/>
  <c r="I156" i="6" s="1"/>
  <c r="H155" i="6"/>
  <c r="I155" i="6" s="1"/>
  <c r="H154" i="6"/>
  <c r="I154" i="6" s="1"/>
  <c r="W18" i="4" s="1"/>
  <c r="H153" i="6"/>
  <c r="I153" i="6" s="1"/>
  <c r="H152" i="6"/>
  <c r="I152" i="6" s="1"/>
  <c r="H151" i="6"/>
  <c r="I151" i="6" s="1"/>
  <c r="H150" i="6"/>
  <c r="I150" i="6" s="1"/>
  <c r="H149" i="6"/>
  <c r="I149" i="6" s="1"/>
  <c r="W44" i="4" s="1"/>
  <c r="H148" i="6"/>
  <c r="I148" i="6" s="1"/>
  <c r="W149" i="4" s="1"/>
  <c r="H147" i="6"/>
  <c r="I147" i="6" s="1"/>
  <c r="W38" i="4" s="1"/>
  <c r="H146" i="6"/>
  <c r="I146" i="6" s="1"/>
  <c r="W146" i="4" s="1"/>
  <c r="H145" i="6"/>
  <c r="I145" i="6" s="1"/>
  <c r="W34" i="4" s="1"/>
  <c r="H144" i="6"/>
  <c r="I144" i="6" s="1"/>
  <c r="H143" i="6"/>
  <c r="I143" i="6" s="1"/>
  <c r="W140" i="4" s="1"/>
  <c r="H142" i="6"/>
  <c r="I142" i="6" s="1"/>
  <c r="W151" i="4" s="1"/>
  <c r="H141" i="6"/>
  <c r="I141" i="6" s="1"/>
  <c r="H140" i="6"/>
  <c r="I140" i="6" s="1"/>
  <c r="W89" i="4" s="1"/>
  <c r="H139" i="6"/>
  <c r="I139" i="6" s="1"/>
  <c r="W124" i="4" s="1"/>
  <c r="H138" i="6"/>
  <c r="I138" i="6" s="1"/>
  <c r="W133" i="4" s="1"/>
  <c r="H137" i="6"/>
  <c r="I137" i="6" s="1"/>
  <c r="W128" i="4" s="1"/>
  <c r="H136" i="6"/>
  <c r="I136" i="6" s="1"/>
  <c r="W66" i="4" s="1"/>
  <c r="H135" i="6"/>
  <c r="I135" i="6" s="1"/>
  <c r="W92" i="4" s="1"/>
  <c r="H134" i="6"/>
  <c r="I134" i="6" s="1"/>
  <c r="H133" i="6"/>
  <c r="I133" i="6" s="1"/>
  <c r="W96" i="4" s="1"/>
  <c r="H132" i="6"/>
  <c r="I132" i="6" s="1"/>
  <c r="W110" i="4" s="1"/>
  <c r="H131" i="6"/>
  <c r="I131" i="6" s="1"/>
  <c r="W114" i="4" s="1"/>
  <c r="H130" i="6"/>
  <c r="I130" i="6" s="1"/>
  <c r="W129" i="4" s="1"/>
  <c r="H129" i="6"/>
  <c r="I129" i="6" s="1"/>
  <c r="W109" i="4" s="1"/>
  <c r="H128" i="6"/>
  <c r="I128" i="6" s="1"/>
  <c r="W159" i="4" s="1"/>
  <c r="H127" i="6"/>
  <c r="I127" i="6" s="1"/>
  <c r="W101" i="4" s="1"/>
  <c r="H126" i="6"/>
  <c r="I126" i="6" s="1"/>
  <c r="W57" i="4" s="1"/>
  <c r="H125" i="6"/>
  <c r="I125" i="6" s="1"/>
  <c r="W65" i="4" s="1"/>
  <c r="H124" i="6"/>
  <c r="I124" i="6" s="1"/>
  <c r="W67" i="4" s="1"/>
  <c r="H123" i="6"/>
  <c r="I123" i="6" s="1"/>
  <c r="W53" i="4" s="1"/>
  <c r="H122" i="6"/>
  <c r="I122" i="6" s="1"/>
  <c r="W80" i="4" s="1"/>
  <c r="H121" i="6"/>
  <c r="I121" i="6" s="1"/>
  <c r="W64" i="4" s="1"/>
  <c r="H120" i="6"/>
  <c r="I120" i="6" s="1"/>
  <c r="W49" i="4" s="1"/>
  <c r="H119" i="6"/>
  <c r="I119" i="6" s="1"/>
  <c r="W48" i="4" s="1"/>
  <c r="H118" i="6"/>
  <c r="I118" i="6" s="1"/>
  <c r="W197" i="4" s="1"/>
  <c r="H117" i="6"/>
  <c r="I117" i="6" s="1"/>
  <c r="H116" i="6"/>
  <c r="I116" i="6" s="1"/>
  <c r="H115" i="6"/>
  <c r="I115" i="6" s="1"/>
  <c r="H114" i="6"/>
  <c r="I114" i="6" s="1"/>
  <c r="H113" i="6"/>
  <c r="I113" i="6" s="1"/>
  <c r="W6" i="4" s="1"/>
  <c r="H112" i="6"/>
  <c r="I112" i="6" s="1"/>
  <c r="W59" i="4" s="1"/>
  <c r="H111" i="6"/>
  <c r="I111" i="6" s="1"/>
  <c r="W160" i="4" s="1"/>
  <c r="H110" i="6"/>
  <c r="I110" i="6" s="1"/>
  <c r="H109" i="6"/>
  <c r="I109" i="6" s="1"/>
  <c r="W162" i="4" s="1"/>
  <c r="H108" i="6"/>
  <c r="I108" i="6" s="1"/>
  <c r="W138" i="4" s="1"/>
  <c r="I107" i="6"/>
  <c r="H107" i="6"/>
  <c r="H106" i="6"/>
  <c r="I106" i="6" s="1"/>
  <c r="W104" i="4" s="1"/>
  <c r="H105" i="6"/>
  <c r="I105" i="6" s="1"/>
  <c r="W137" i="4" s="1"/>
  <c r="H104" i="6"/>
  <c r="I104" i="6" s="1"/>
  <c r="H103" i="6"/>
  <c r="I103" i="6" s="1"/>
  <c r="H102" i="6"/>
  <c r="I102" i="6" s="1"/>
  <c r="H101" i="6"/>
  <c r="I101" i="6" s="1"/>
  <c r="H100" i="6"/>
  <c r="I100" i="6" s="1"/>
  <c r="H99" i="6"/>
  <c r="I99" i="6" s="1"/>
  <c r="H98" i="6"/>
  <c r="I98" i="6" s="1"/>
  <c r="H97" i="6"/>
  <c r="I97" i="6" s="1"/>
  <c r="H96" i="6"/>
  <c r="I96" i="6" s="1"/>
  <c r="H95" i="6"/>
  <c r="I95" i="6" s="1"/>
  <c r="H94" i="6"/>
  <c r="I94" i="6" s="1"/>
  <c r="H93" i="6"/>
  <c r="I93" i="6" s="1"/>
  <c r="W108" i="4" s="1"/>
  <c r="H92" i="6"/>
  <c r="I92" i="6" s="1"/>
  <c r="W187" i="4" s="1"/>
  <c r="H91" i="6"/>
  <c r="I91" i="6" s="1"/>
  <c r="W186" i="4" s="1"/>
  <c r="H90" i="6"/>
  <c r="I90" i="6" s="1"/>
  <c r="H89" i="6"/>
  <c r="I89" i="6" s="1"/>
  <c r="H88" i="6"/>
  <c r="I88" i="6" s="1"/>
  <c r="H87" i="6"/>
  <c r="I87" i="6" s="1"/>
  <c r="H86" i="6"/>
  <c r="I86" i="6" s="1"/>
  <c r="W126" i="4" s="1"/>
  <c r="H85" i="6"/>
  <c r="I85" i="6" s="1"/>
  <c r="H84" i="6"/>
  <c r="I84" i="6" s="1"/>
  <c r="W112" i="4" s="1"/>
  <c r="H83" i="6"/>
  <c r="I83" i="6" s="1"/>
  <c r="W127" i="4" s="1"/>
  <c r="H82" i="6"/>
  <c r="I82" i="6" s="1"/>
  <c r="H81" i="6"/>
  <c r="I81" i="6" s="1"/>
  <c r="W25" i="4" s="1"/>
  <c r="H80" i="6"/>
  <c r="I80" i="6" s="1"/>
  <c r="W103" i="4" s="1"/>
  <c r="H79" i="6"/>
  <c r="I79" i="6" s="1"/>
  <c r="W168" i="4" s="1"/>
  <c r="H78" i="6"/>
  <c r="I78" i="6" s="1"/>
  <c r="W193" i="4" s="1"/>
  <c r="H77" i="6"/>
  <c r="I77" i="6" s="1"/>
  <c r="H76" i="6"/>
  <c r="I76" i="6" s="1"/>
  <c r="W195" i="4" s="1"/>
  <c r="H75" i="6"/>
  <c r="I75" i="6" s="1"/>
  <c r="W173" i="4" s="1"/>
  <c r="H74" i="6"/>
  <c r="I74" i="6" s="1"/>
  <c r="W51" i="4" s="1"/>
  <c r="H73" i="6"/>
  <c r="I73" i="6" s="1"/>
  <c r="W50" i="4" s="1"/>
  <c r="H72" i="6"/>
  <c r="I72" i="6" s="1"/>
  <c r="W163" i="4" s="1"/>
  <c r="H71" i="6"/>
  <c r="I71" i="6" s="1"/>
  <c r="H70" i="6"/>
  <c r="I70" i="6" s="1"/>
  <c r="H69" i="6"/>
  <c r="I69" i="6" s="1"/>
  <c r="W176" i="4" s="1"/>
  <c r="H68" i="6"/>
  <c r="I68" i="6" s="1"/>
  <c r="H67" i="6"/>
  <c r="I67" i="6" s="1"/>
  <c r="W79" i="4" s="1"/>
  <c r="H66" i="6"/>
  <c r="I66" i="6" s="1"/>
  <c r="W88" i="4" s="1"/>
  <c r="H65" i="6"/>
  <c r="I65" i="6" s="1"/>
  <c r="W183" i="4" s="1"/>
  <c r="H64" i="6"/>
  <c r="I64" i="6" s="1"/>
  <c r="W52" i="4" s="1"/>
  <c r="H63" i="6"/>
  <c r="I63" i="6" s="1"/>
  <c r="W93" i="4" s="1"/>
  <c r="H62" i="6"/>
  <c r="I62" i="6" s="1"/>
  <c r="H61" i="6"/>
  <c r="I61" i="6" s="1"/>
  <c r="H60" i="6"/>
  <c r="I60" i="6" s="1"/>
  <c r="H59" i="6"/>
  <c r="I59" i="6" s="1"/>
  <c r="W31" i="4" s="1"/>
  <c r="H58" i="6"/>
  <c r="I58" i="6" s="1"/>
  <c r="H57" i="6"/>
  <c r="I57" i="6" s="1"/>
  <c r="W7" i="4" s="1"/>
  <c r="H56" i="6"/>
  <c r="I56" i="6" s="1"/>
  <c r="W12" i="4" s="1"/>
  <c r="H55" i="6"/>
  <c r="I55" i="6" s="1"/>
  <c r="H54" i="6"/>
  <c r="I54" i="6" s="1"/>
  <c r="H53" i="6"/>
  <c r="I53" i="6" s="1"/>
  <c r="W27" i="4" s="1"/>
  <c r="H52" i="6"/>
  <c r="I52" i="6" s="1"/>
  <c r="W107" i="4" s="1"/>
  <c r="H51" i="6"/>
  <c r="I51" i="6" s="1"/>
  <c r="W106" i="4" s="1"/>
  <c r="H50" i="6"/>
  <c r="I50" i="6" s="1"/>
  <c r="H49" i="6"/>
  <c r="I49" i="6" s="1"/>
  <c r="W87" i="4" s="1"/>
  <c r="H48" i="6"/>
  <c r="I48" i="6" s="1"/>
  <c r="W97" i="4" s="1"/>
  <c r="H47" i="6"/>
  <c r="I47" i="6" s="1"/>
  <c r="H46" i="6"/>
  <c r="I46" i="6" s="1"/>
  <c r="W78" i="4" s="1"/>
  <c r="H45" i="6"/>
  <c r="I45" i="6" s="1"/>
  <c r="H44" i="6"/>
  <c r="I44" i="6" s="1"/>
  <c r="W90" i="4" s="1"/>
  <c r="H43" i="6"/>
  <c r="I43" i="6" s="1"/>
  <c r="W122" i="4" s="1"/>
  <c r="H42" i="6"/>
  <c r="I42" i="6" s="1"/>
  <c r="W95" i="4" s="1"/>
  <c r="H41" i="6"/>
  <c r="I41" i="6" s="1"/>
  <c r="H40" i="6"/>
  <c r="I40" i="6" s="1"/>
  <c r="H39" i="6"/>
  <c r="I39" i="6" s="1"/>
  <c r="H38" i="6"/>
  <c r="I38" i="6" s="1"/>
  <c r="W74" i="4" s="1"/>
  <c r="H37" i="6"/>
  <c r="I37" i="6" s="1"/>
  <c r="W188" i="4" s="1"/>
  <c r="H36" i="6"/>
  <c r="I36" i="6" s="1"/>
  <c r="W130" i="4" s="1"/>
  <c r="H35" i="6"/>
  <c r="I35" i="6" s="1"/>
  <c r="W179" i="4" s="1"/>
  <c r="H34" i="6"/>
  <c r="I34" i="6" s="1"/>
  <c r="W91" i="4" s="1"/>
  <c r="H33" i="6"/>
  <c r="I33" i="6" s="1"/>
  <c r="W73" i="4" s="1"/>
  <c r="H32" i="6"/>
  <c r="I32" i="6" s="1"/>
  <c r="H31" i="6"/>
  <c r="I31" i="6" s="1"/>
  <c r="H30" i="6"/>
  <c r="I30" i="6" s="1"/>
  <c r="H29" i="6"/>
  <c r="I29" i="6" s="1"/>
  <c r="W24" i="4" s="1"/>
  <c r="H28" i="6"/>
  <c r="I28" i="6" s="1"/>
  <c r="W28" i="4" s="1"/>
  <c r="H27" i="6"/>
  <c r="I27" i="6" s="1"/>
  <c r="W63" i="4" s="1"/>
  <c r="H26" i="6"/>
  <c r="I26" i="6" s="1"/>
  <c r="W42" i="4" s="1"/>
  <c r="H25" i="6"/>
  <c r="I25" i="6" s="1"/>
  <c r="W62" i="4" s="1"/>
  <c r="H24" i="6"/>
  <c r="I24" i="6" s="1"/>
  <c r="W85" i="4" s="1"/>
  <c r="H23" i="6"/>
  <c r="I23" i="6" s="1"/>
  <c r="W61" i="4" s="1"/>
  <c r="H22" i="6"/>
  <c r="I22" i="6" s="1"/>
  <c r="W47" i="4" s="1"/>
  <c r="H21" i="6"/>
  <c r="I21" i="6" s="1"/>
  <c r="H20" i="6"/>
  <c r="I20" i="6" s="1"/>
  <c r="H19" i="6"/>
  <c r="I19" i="6" s="1"/>
  <c r="W10" i="4" s="1"/>
  <c r="H18" i="6"/>
  <c r="I18" i="6" s="1"/>
  <c r="W134" i="4" s="1"/>
  <c r="H17" i="6"/>
  <c r="I17" i="6" s="1"/>
  <c r="W165" i="4" s="1"/>
  <c r="H16" i="6"/>
  <c r="I16" i="6" s="1"/>
  <c r="H15" i="6"/>
  <c r="I15" i="6" s="1"/>
  <c r="H14" i="6"/>
  <c r="I14" i="6" s="1"/>
  <c r="W102" i="4" s="1"/>
  <c r="H13" i="6"/>
  <c r="I13" i="6" s="1"/>
  <c r="H12" i="6"/>
  <c r="I12" i="6" s="1"/>
  <c r="H11" i="6"/>
  <c r="I11" i="6" s="1"/>
  <c r="H10" i="6"/>
  <c r="I10" i="6" s="1"/>
  <c r="W9" i="4" s="1"/>
  <c r="H9" i="6"/>
  <c r="I9" i="6" s="1"/>
  <c r="H8" i="6"/>
  <c r="I8" i="6" s="1"/>
  <c r="H7" i="6"/>
  <c r="I7" i="6" s="1"/>
  <c r="H6" i="6"/>
  <c r="I6" i="6" s="1"/>
  <c r="W58" i="4" s="1"/>
  <c r="H5" i="6"/>
  <c r="I5" i="6" s="1"/>
  <c r="H4" i="6"/>
  <c r="I4" i="6" s="1"/>
  <c r="H3" i="6"/>
  <c r="I3" i="6" s="1"/>
  <c r="H2" i="6"/>
  <c r="I2" i="6" s="1"/>
  <c r="W23" i="4" s="1"/>
  <c r="B6" i="5"/>
  <c r="D209" i="4"/>
  <c r="AF201" i="4"/>
  <c r="U201" i="4"/>
  <c r="T201" i="4"/>
  <c r="S201" i="4"/>
  <c r="R201" i="4"/>
  <c r="Q201" i="4"/>
  <c r="P201" i="4"/>
  <c r="J201" i="4"/>
  <c r="H201" i="4"/>
  <c r="AC200" i="4"/>
  <c r="Y200" i="4"/>
  <c r="AG191" i="2" s="1"/>
  <c r="O191" i="2" s="1"/>
  <c r="X200" i="4"/>
  <c r="AF191" i="2" s="1"/>
  <c r="N191" i="2" s="1"/>
  <c r="W200" i="4"/>
  <c r="V200" i="4"/>
  <c r="M200" i="4"/>
  <c r="AC199" i="4"/>
  <c r="Y199" i="4"/>
  <c r="AG199" i="2" s="1"/>
  <c r="O199" i="2" s="1"/>
  <c r="X199" i="4"/>
  <c r="AF199" i="2" s="1"/>
  <c r="N199" i="2" s="1"/>
  <c r="W199" i="4"/>
  <c r="V199" i="4"/>
  <c r="M199" i="4"/>
  <c r="AC198" i="4"/>
  <c r="Y198" i="4"/>
  <c r="AG189" i="2" s="1"/>
  <c r="O189" i="2" s="1"/>
  <c r="X198" i="4"/>
  <c r="AF189" i="2" s="1"/>
  <c r="N189" i="2" s="1"/>
  <c r="W198" i="4"/>
  <c r="V198" i="4"/>
  <c r="M198" i="4"/>
  <c r="AC197" i="4"/>
  <c r="Y197" i="4"/>
  <c r="AG197" i="2" s="1"/>
  <c r="O197" i="2" s="1"/>
  <c r="X197" i="4"/>
  <c r="AF197" i="2" s="1"/>
  <c r="N197" i="2" s="1"/>
  <c r="V197" i="4"/>
  <c r="M197" i="4"/>
  <c r="AC196" i="4"/>
  <c r="Y196" i="4"/>
  <c r="AG175" i="2" s="1"/>
  <c r="O175" i="2" s="1"/>
  <c r="X196" i="4"/>
  <c r="AF175" i="2" s="1"/>
  <c r="N175" i="2" s="1"/>
  <c r="W196" i="4"/>
  <c r="V196" i="4"/>
  <c r="M196" i="4"/>
  <c r="AC195" i="4"/>
  <c r="Y195" i="4"/>
  <c r="AG198" i="2" s="1"/>
  <c r="O198" i="2" s="1"/>
  <c r="X195" i="4"/>
  <c r="AF198" i="2" s="1"/>
  <c r="N198" i="2" s="1"/>
  <c r="V195" i="4"/>
  <c r="M195" i="4"/>
  <c r="AC194" i="4"/>
  <c r="Y194" i="4"/>
  <c r="AG196" i="2" s="1"/>
  <c r="O196" i="2" s="1"/>
  <c r="X194" i="4"/>
  <c r="AF196" i="2" s="1"/>
  <c r="N196" i="2" s="1"/>
  <c r="W194" i="4"/>
  <c r="V194" i="4"/>
  <c r="M194" i="4"/>
  <c r="AC193" i="4"/>
  <c r="Y193" i="4"/>
  <c r="AG190" i="2" s="1"/>
  <c r="O190" i="2" s="1"/>
  <c r="X193" i="4"/>
  <c r="AF190" i="2" s="1"/>
  <c r="N190" i="2" s="1"/>
  <c r="V193" i="4"/>
  <c r="M193" i="4"/>
  <c r="AC192" i="4"/>
  <c r="Y192" i="4"/>
  <c r="AG161" i="2" s="1"/>
  <c r="O161" i="2" s="1"/>
  <c r="X192" i="4"/>
  <c r="AF161" i="2" s="1"/>
  <c r="N161" i="2" s="1"/>
  <c r="W192" i="4"/>
  <c r="V192" i="4"/>
  <c r="M192" i="4"/>
  <c r="AC191" i="4"/>
  <c r="Y191" i="4"/>
  <c r="AG157" i="2" s="1"/>
  <c r="O157" i="2" s="1"/>
  <c r="X191" i="4"/>
  <c r="AF157" i="2" s="1"/>
  <c r="N157" i="2" s="1"/>
  <c r="W191" i="4"/>
  <c r="V191" i="4"/>
  <c r="M191" i="4"/>
  <c r="AC190" i="4"/>
  <c r="Y190" i="4"/>
  <c r="AG146" i="2" s="1"/>
  <c r="O146" i="2" s="1"/>
  <c r="X190" i="4"/>
  <c r="AF146" i="2" s="1"/>
  <c r="N146" i="2" s="1"/>
  <c r="W190" i="4"/>
  <c r="V190" i="4"/>
  <c r="M190" i="4"/>
  <c r="AC189" i="4"/>
  <c r="Y189" i="4"/>
  <c r="AG187" i="2" s="1"/>
  <c r="O187" i="2" s="1"/>
  <c r="X189" i="4"/>
  <c r="AF187" i="2" s="1"/>
  <c r="N187" i="2" s="1"/>
  <c r="V189" i="4"/>
  <c r="M189" i="4"/>
  <c r="AC188" i="4"/>
  <c r="Y188" i="4"/>
  <c r="AG178" i="2" s="1"/>
  <c r="O178" i="2" s="1"/>
  <c r="X188" i="4"/>
  <c r="AF178" i="2" s="1"/>
  <c r="N178" i="2" s="1"/>
  <c r="V188" i="4"/>
  <c r="M188" i="4"/>
  <c r="AC187" i="4"/>
  <c r="Y187" i="4"/>
  <c r="AG174" i="2" s="1"/>
  <c r="O174" i="2" s="1"/>
  <c r="X187" i="4"/>
  <c r="AF174" i="2" s="1"/>
  <c r="N174" i="2" s="1"/>
  <c r="V187" i="4"/>
  <c r="M187" i="4"/>
  <c r="AC186" i="4"/>
  <c r="Y186" i="4"/>
  <c r="AG173" i="2" s="1"/>
  <c r="O173" i="2" s="1"/>
  <c r="X186" i="4"/>
  <c r="AF173" i="2" s="1"/>
  <c r="N173" i="2" s="1"/>
  <c r="V186" i="4"/>
  <c r="M186" i="4"/>
  <c r="AC185" i="4"/>
  <c r="Y185" i="4"/>
  <c r="AG151" i="2" s="1"/>
  <c r="O151" i="2" s="1"/>
  <c r="X185" i="4"/>
  <c r="AF151" i="2" s="1"/>
  <c r="N151" i="2" s="1"/>
  <c r="W185" i="4"/>
  <c r="V185" i="4"/>
  <c r="M185" i="4"/>
  <c r="AC184" i="4"/>
  <c r="Y184" i="4"/>
  <c r="AG184" i="2" s="1"/>
  <c r="O184" i="2" s="1"/>
  <c r="X184" i="4"/>
  <c r="AF184" i="2" s="1"/>
  <c r="N184" i="2" s="1"/>
  <c r="W184" i="4"/>
  <c r="V184" i="4"/>
  <c r="M184" i="4"/>
  <c r="AC183" i="4"/>
  <c r="Y183" i="4"/>
  <c r="AG170" i="2" s="1"/>
  <c r="O170" i="2" s="1"/>
  <c r="X183" i="4"/>
  <c r="AF170" i="2" s="1"/>
  <c r="N170" i="2" s="1"/>
  <c r="V183" i="4"/>
  <c r="M183" i="4"/>
  <c r="AC182" i="4"/>
  <c r="Y182" i="4"/>
  <c r="AG164" i="2" s="1"/>
  <c r="O164" i="2" s="1"/>
  <c r="X182" i="4"/>
  <c r="AF164" i="2" s="1"/>
  <c r="N164" i="2" s="1"/>
  <c r="W182" i="4"/>
  <c r="V182" i="4"/>
  <c r="M182" i="4"/>
  <c r="AC181" i="4"/>
  <c r="Y181" i="4"/>
  <c r="AG168" i="2" s="1"/>
  <c r="O168" i="2" s="1"/>
  <c r="X181" i="4"/>
  <c r="AF168" i="2" s="1"/>
  <c r="N168" i="2" s="1"/>
  <c r="W181" i="4"/>
  <c r="V181" i="4"/>
  <c r="M181" i="4"/>
  <c r="AC180" i="4"/>
  <c r="Y180" i="4"/>
  <c r="AG138" i="2" s="1"/>
  <c r="O138" i="2" s="1"/>
  <c r="X180" i="4"/>
  <c r="AF138" i="2" s="1"/>
  <c r="N138" i="2" s="1"/>
  <c r="W180" i="4"/>
  <c r="V180" i="4"/>
  <c r="M180" i="4"/>
  <c r="AC179" i="4"/>
  <c r="Y179" i="4"/>
  <c r="AG135" i="2" s="1"/>
  <c r="O135" i="2" s="1"/>
  <c r="X179" i="4"/>
  <c r="AF135" i="2" s="1"/>
  <c r="N135" i="2" s="1"/>
  <c r="V179" i="4"/>
  <c r="M179" i="4"/>
  <c r="AC178" i="4"/>
  <c r="Y178" i="4"/>
  <c r="AG156" i="2" s="1"/>
  <c r="O156" i="2" s="1"/>
  <c r="X178" i="4"/>
  <c r="AF156" i="2" s="1"/>
  <c r="N156" i="2" s="1"/>
  <c r="V178" i="4"/>
  <c r="M178" i="4"/>
  <c r="AC177" i="4"/>
  <c r="Y177" i="4"/>
  <c r="AG155" i="2" s="1"/>
  <c r="O155" i="2" s="1"/>
  <c r="X177" i="4"/>
  <c r="AF155" i="2" s="1"/>
  <c r="N155" i="2" s="1"/>
  <c r="W177" i="4"/>
  <c r="V177" i="4"/>
  <c r="M177" i="4"/>
  <c r="AC176" i="4"/>
  <c r="Y176" i="4"/>
  <c r="AG158" i="2" s="1"/>
  <c r="O158" i="2" s="1"/>
  <c r="X176" i="4"/>
  <c r="AF158" i="2" s="1"/>
  <c r="N158" i="2" s="1"/>
  <c r="V176" i="4"/>
  <c r="M176" i="4"/>
  <c r="AC175" i="4"/>
  <c r="Y175" i="4"/>
  <c r="AG152" i="2" s="1"/>
  <c r="O152" i="2" s="1"/>
  <c r="X175" i="4"/>
  <c r="AF152" i="2" s="1"/>
  <c r="N152" i="2" s="1"/>
  <c r="V175" i="4"/>
  <c r="M175" i="4"/>
  <c r="AC174" i="4"/>
  <c r="Y174" i="4"/>
  <c r="AG149" i="2" s="1"/>
  <c r="O149" i="2" s="1"/>
  <c r="X174" i="4"/>
  <c r="AF149" i="2" s="1"/>
  <c r="N149" i="2" s="1"/>
  <c r="V174" i="4"/>
  <c r="M174" i="4"/>
  <c r="AC173" i="4"/>
  <c r="Y173" i="4"/>
  <c r="AG134" i="2" s="1"/>
  <c r="O134" i="2" s="1"/>
  <c r="X173" i="4"/>
  <c r="AF134" i="2" s="1"/>
  <c r="N134" i="2" s="1"/>
  <c r="V173" i="4"/>
  <c r="M173" i="4"/>
  <c r="AC172" i="4"/>
  <c r="Y172" i="4"/>
  <c r="AG92" i="2" s="1"/>
  <c r="O92" i="2" s="1"/>
  <c r="X172" i="4"/>
  <c r="AF92" i="2" s="1"/>
  <c r="N92" i="2" s="1"/>
  <c r="W172" i="4"/>
  <c r="V172" i="4"/>
  <c r="M172" i="4"/>
  <c r="AC171" i="4"/>
  <c r="Y171" i="4"/>
  <c r="AG143" i="2" s="1"/>
  <c r="O143" i="2" s="1"/>
  <c r="X171" i="4"/>
  <c r="AF143" i="2" s="1"/>
  <c r="N143" i="2" s="1"/>
  <c r="W171" i="4"/>
  <c r="V171" i="4"/>
  <c r="M171" i="4"/>
  <c r="AC170" i="4"/>
  <c r="Y170" i="4"/>
  <c r="AG105" i="2" s="1"/>
  <c r="O105" i="2" s="1"/>
  <c r="X170" i="4"/>
  <c r="AF105" i="2" s="1"/>
  <c r="N105" i="2" s="1"/>
  <c r="W170" i="4"/>
  <c r="V170" i="4"/>
  <c r="M170" i="4"/>
  <c r="AC169" i="4"/>
  <c r="Y169" i="4"/>
  <c r="AG103" i="2" s="1"/>
  <c r="O103" i="2" s="1"/>
  <c r="X169" i="4"/>
  <c r="AF103" i="2" s="1"/>
  <c r="N103" i="2" s="1"/>
  <c r="W169" i="4"/>
  <c r="V169" i="4"/>
  <c r="M169" i="4"/>
  <c r="AC168" i="4"/>
  <c r="Y168" i="4"/>
  <c r="AG141" i="2" s="1"/>
  <c r="O141" i="2" s="1"/>
  <c r="X168" i="4"/>
  <c r="AF141" i="2" s="1"/>
  <c r="N141" i="2" s="1"/>
  <c r="V168" i="4"/>
  <c r="M168" i="4"/>
  <c r="AC167" i="4"/>
  <c r="Y167" i="4"/>
  <c r="AG128" i="2" s="1"/>
  <c r="O128" i="2" s="1"/>
  <c r="X167" i="4"/>
  <c r="AF128" i="2" s="1"/>
  <c r="N128" i="2" s="1"/>
  <c r="W167" i="4"/>
  <c r="V167" i="4"/>
  <c r="M167" i="4"/>
  <c r="AC166" i="4"/>
  <c r="Y166" i="4"/>
  <c r="AG131" i="2" s="1"/>
  <c r="O131" i="2" s="1"/>
  <c r="X166" i="4"/>
  <c r="AF131" i="2" s="1"/>
  <c r="N131" i="2" s="1"/>
  <c r="V166" i="4"/>
  <c r="M166" i="4"/>
  <c r="AC165" i="4"/>
  <c r="Y165" i="4"/>
  <c r="AG147" i="2" s="1"/>
  <c r="O147" i="2" s="1"/>
  <c r="X165" i="4"/>
  <c r="AF147" i="2" s="1"/>
  <c r="N147" i="2" s="1"/>
  <c r="V165" i="4"/>
  <c r="M165" i="4"/>
  <c r="AC164" i="4"/>
  <c r="Y164" i="4"/>
  <c r="AG142" i="2" s="1"/>
  <c r="O142" i="2" s="1"/>
  <c r="X164" i="4"/>
  <c r="AF142" i="2" s="1"/>
  <c r="N142" i="2" s="1"/>
  <c r="V164" i="4"/>
  <c r="M164" i="4"/>
  <c r="AC163" i="4"/>
  <c r="Y163" i="4"/>
  <c r="AG133" i="2" s="1"/>
  <c r="O133" i="2" s="1"/>
  <c r="X163" i="4"/>
  <c r="AF133" i="2" s="1"/>
  <c r="N133" i="2" s="1"/>
  <c r="V163" i="4"/>
  <c r="M163" i="4"/>
  <c r="AC162" i="4"/>
  <c r="Y162" i="4"/>
  <c r="AG132" i="2" s="1"/>
  <c r="O132" i="2" s="1"/>
  <c r="X162" i="4"/>
  <c r="AF132" i="2" s="1"/>
  <c r="N132" i="2" s="1"/>
  <c r="V162" i="4"/>
  <c r="M162" i="4"/>
  <c r="AC161" i="4"/>
  <c r="Y161" i="4"/>
  <c r="AG91" i="2" s="1"/>
  <c r="O91" i="2" s="1"/>
  <c r="X161" i="4"/>
  <c r="AF91" i="2" s="1"/>
  <c r="N91" i="2" s="1"/>
  <c r="W161" i="4"/>
  <c r="V161" i="4"/>
  <c r="M161" i="4"/>
  <c r="AC160" i="4"/>
  <c r="Y160" i="4"/>
  <c r="AG126" i="2" s="1"/>
  <c r="O126" i="2" s="1"/>
  <c r="X160" i="4"/>
  <c r="AF126" i="2" s="1"/>
  <c r="N126" i="2" s="1"/>
  <c r="V160" i="4"/>
  <c r="M160" i="4"/>
  <c r="AC159" i="4"/>
  <c r="Y159" i="4"/>
  <c r="AG100" i="2" s="1"/>
  <c r="O100" i="2" s="1"/>
  <c r="X159" i="4"/>
  <c r="AF100" i="2" s="1"/>
  <c r="N100" i="2" s="1"/>
  <c r="V159" i="4"/>
  <c r="M159" i="4"/>
  <c r="AC158" i="4"/>
  <c r="Y158" i="4"/>
  <c r="AG96" i="2" s="1"/>
  <c r="O96" i="2" s="1"/>
  <c r="X158" i="4"/>
  <c r="AF96" i="2" s="1"/>
  <c r="N96" i="2" s="1"/>
  <c r="V158" i="4"/>
  <c r="M158" i="4"/>
  <c r="AC157" i="4"/>
  <c r="X157" i="4"/>
  <c r="AF74" i="2" s="1"/>
  <c r="N74" i="2" s="1"/>
  <c r="Q157" i="4"/>
  <c r="M157" i="4"/>
  <c r="Y156" i="4"/>
  <c r="AG194" i="2" s="1"/>
  <c r="O194" i="2" s="1"/>
  <c r="X156" i="4"/>
  <c r="AF194" i="2" s="1"/>
  <c r="N194" i="2" s="1"/>
  <c r="W156" i="4"/>
  <c r="V156" i="4"/>
  <c r="M156" i="4"/>
  <c r="Y155" i="4"/>
  <c r="AG193" i="2" s="1"/>
  <c r="O193" i="2" s="1"/>
  <c r="X155" i="4"/>
  <c r="AF193" i="2" s="1"/>
  <c r="N193" i="2" s="1"/>
  <c r="W155" i="4"/>
  <c r="V155" i="4"/>
  <c r="M155" i="4"/>
  <c r="Y154" i="4"/>
  <c r="AG195" i="2" s="1"/>
  <c r="O195" i="2" s="1"/>
  <c r="X154" i="4"/>
  <c r="AF195" i="2" s="1"/>
  <c r="N195" i="2" s="1"/>
  <c r="W154" i="4"/>
  <c r="V154" i="4"/>
  <c r="M154" i="4"/>
  <c r="Y153" i="4"/>
  <c r="AG181" i="2" s="1"/>
  <c r="O181" i="2" s="1"/>
  <c r="X153" i="4"/>
  <c r="AF181" i="2" s="1"/>
  <c r="N181" i="2" s="1"/>
  <c r="V153" i="4"/>
  <c r="M153" i="4"/>
  <c r="Y152" i="4"/>
  <c r="AG180" i="2" s="1"/>
  <c r="O180" i="2" s="1"/>
  <c r="X152" i="4"/>
  <c r="AF180" i="2" s="1"/>
  <c r="N180" i="2" s="1"/>
  <c r="V152" i="4"/>
  <c r="M152" i="4"/>
  <c r="Y151" i="4"/>
  <c r="AG188" i="2" s="1"/>
  <c r="O188" i="2" s="1"/>
  <c r="X151" i="4"/>
  <c r="AF188" i="2" s="1"/>
  <c r="N188" i="2" s="1"/>
  <c r="V151" i="4"/>
  <c r="M151" i="4"/>
  <c r="Y150" i="4"/>
  <c r="AG182" i="2" s="1"/>
  <c r="O182" i="2" s="1"/>
  <c r="X150" i="4"/>
  <c r="AF182" i="2" s="1"/>
  <c r="N182" i="2" s="1"/>
  <c r="W150" i="4"/>
  <c r="V150" i="4"/>
  <c r="M150" i="4"/>
  <c r="Y149" i="4"/>
  <c r="AG172" i="2" s="1"/>
  <c r="O172" i="2" s="1"/>
  <c r="X149" i="4"/>
  <c r="AF172" i="2" s="1"/>
  <c r="N172" i="2" s="1"/>
  <c r="V149" i="4"/>
  <c r="M149" i="4"/>
  <c r="Y148" i="4"/>
  <c r="AG179" i="2" s="1"/>
  <c r="O179" i="2" s="1"/>
  <c r="X148" i="4"/>
  <c r="AF179" i="2" s="1"/>
  <c r="N179" i="2" s="1"/>
  <c r="W148" i="4"/>
  <c r="V148" i="4"/>
  <c r="M148" i="4"/>
  <c r="Y147" i="4"/>
  <c r="AG192" i="2" s="1"/>
  <c r="O192" i="2" s="1"/>
  <c r="X147" i="4"/>
  <c r="AF192" i="2" s="1"/>
  <c r="N192" i="2" s="1"/>
  <c r="W147" i="4"/>
  <c r="V147" i="4"/>
  <c r="M147" i="4"/>
  <c r="Y146" i="4"/>
  <c r="AG186" i="2" s="1"/>
  <c r="O186" i="2" s="1"/>
  <c r="X146" i="4"/>
  <c r="AF186" i="2" s="1"/>
  <c r="N186" i="2" s="1"/>
  <c r="V146" i="4"/>
  <c r="M146" i="4"/>
  <c r="Y145" i="4"/>
  <c r="AG185" i="2" s="1"/>
  <c r="O185" i="2" s="1"/>
  <c r="X145" i="4"/>
  <c r="AF185" i="2" s="1"/>
  <c r="N185" i="2" s="1"/>
  <c r="W145" i="4"/>
  <c r="V145" i="4"/>
  <c r="M145" i="4"/>
  <c r="Y144" i="4"/>
  <c r="AG176" i="2" s="1"/>
  <c r="O176" i="2" s="1"/>
  <c r="X144" i="4"/>
  <c r="AF176" i="2" s="1"/>
  <c r="N176" i="2" s="1"/>
  <c r="W144" i="4"/>
  <c r="V144" i="4"/>
  <c r="M144" i="4"/>
  <c r="Y143" i="4"/>
  <c r="AG177" i="2" s="1"/>
  <c r="O177" i="2" s="1"/>
  <c r="X143" i="4"/>
  <c r="AF177" i="2" s="1"/>
  <c r="N177" i="2" s="1"/>
  <c r="W143" i="4"/>
  <c r="V143" i="4"/>
  <c r="M143" i="4"/>
  <c r="Y142" i="4"/>
  <c r="AG183" i="2" s="1"/>
  <c r="O183" i="2" s="1"/>
  <c r="X142" i="4"/>
  <c r="AF183" i="2" s="1"/>
  <c r="N183" i="2" s="1"/>
  <c r="W142" i="4"/>
  <c r="V142" i="4"/>
  <c r="M142" i="4"/>
  <c r="Y141" i="4"/>
  <c r="AG171" i="2" s="1"/>
  <c r="O171" i="2" s="1"/>
  <c r="X141" i="4"/>
  <c r="AF171" i="2" s="1"/>
  <c r="N171" i="2" s="1"/>
  <c r="W141" i="4"/>
  <c r="V141" i="4"/>
  <c r="M141" i="4"/>
  <c r="Y140" i="4"/>
  <c r="AG169" i="2" s="1"/>
  <c r="O169" i="2" s="1"/>
  <c r="X140" i="4"/>
  <c r="AF169" i="2" s="1"/>
  <c r="N169" i="2" s="1"/>
  <c r="V140" i="4"/>
  <c r="M140" i="4"/>
  <c r="Y139" i="4"/>
  <c r="AG163" i="2" s="1"/>
  <c r="O163" i="2" s="1"/>
  <c r="X139" i="4"/>
  <c r="AF163" i="2" s="1"/>
  <c r="N163" i="2" s="1"/>
  <c r="W139" i="4"/>
  <c r="V139" i="4"/>
  <c r="M139" i="4"/>
  <c r="Y138" i="4"/>
  <c r="AG160" i="2" s="1"/>
  <c r="O160" i="2" s="1"/>
  <c r="X138" i="4"/>
  <c r="AF160" i="2" s="1"/>
  <c r="N160" i="2" s="1"/>
  <c r="V138" i="4"/>
  <c r="M138" i="4"/>
  <c r="Y137" i="4"/>
  <c r="AG159" i="2" s="1"/>
  <c r="O159" i="2" s="1"/>
  <c r="X137" i="4"/>
  <c r="AF159" i="2" s="1"/>
  <c r="N159" i="2" s="1"/>
  <c r="V137" i="4"/>
  <c r="M137" i="4"/>
  <c r="Y136" i="4"/>
  <c r="AG167" i="2" s="1"/>
  <c r="O167" i="2" s="1"/>
  <c r="X136" i="4"/>
  <c r="AF167" i="2" s="1"/>
  <c r="N167" i="2" s="1"/>
  <c r="V136" i="4"/>
  <c r="M136" i="4"/>
  <c r="Y135" i="4"/>
  <c r="AG137" i="2" s="1"/>
  <c r="O137" i="2" s="1"/>
  <c r="X135" i="4"/>
  <c r="AF137" i="2" s="1"/>
  <c r="N137" i="2" s="1"/>
  <c r="W135" i="4"/>
  <c r="V135" i="4"/>
  <c r="M135" i="4"/>
  <c r="Y134" i="4"/>
  <c r="AG165" i="2" s="1"/>
  <c r="O165" i="2" s="1"/>
  <c r="X134" i="4"/>
  <c r="AF165" i="2" s="1"/>
  <c r="N165" i="2" s="1"/>
  <c r="V134" i="4"/>
  <c r="M134" i="4"/>
  <c r="Y133" i="4"/>
  <c r="AG125" i="2" s="1"/>
  <c r="O125" i="2" s="1"/>
  <c r="X133" i="4"/>
  <c r="AF125" i="2" s="1"/>
  <c r="N125" i="2" s="1"/>
  <c r="V133" i="4"/>
  <c r="M133" i="4"/>
  <c r="AC132" i="4"/>
  <c r="Y132" i="4"/>
  <c r="AG113" i="2" s="1"/>
  <c r="O113" i="2" s="1"/>
  <c r="X132" i="4"/>
  <c r="AF113" i="2" s="1"/>
  <c r="N113" i="2" s="1"/>
  <c r="W132" i="4"/>
  <c r="V132" i="4"/>
  <c r="M132" i="4"/>
  <c r="AC131" i="4"/>
  <c r="Y131" i="4"/>
  <c r="AG112" i="2" s="1"/>
  <c r="O112" i="2" s="1"/>
  <c r="X131" i="4"/>
  <c r="AF112" i="2" s="1"/>
  <c r="N112" i="2" s="1"/>
  <c r="W131" i="4"/>
  <c r="V131" i="4"/>
  <c r="M131" i="4"/>
  <c r="Y130" i="4"/>
  <c r="AG153" i="2" s="1"/>
  <c r="O153" i="2" s="1"/>
  <c r="X130" i="4"/>
  <c r="AF153" i="2" s="1"/>
  <c r="N153" i="2" s="1"/>
  <c r="V130" i="4"/>
  <c r="M130" i="4"/>
  <c r="Y129" i="4"/>
  <c r="AG136" i="2" s="1"/>
  <c r="O136" i="2" s="1"/>
  <c r="X129" i="4"/>
  <c r="AF136" i="2" s="1"/>
  <c r="N136" i="2" s="1"/>
  <c r="V129" i="4"/>
  <c r="M129" i="4"/>
  <c r="Y128" i="4"/>
  <c r="AG117" i="2" s="1"/>
  <c r="O117" i="2" s="1"/>
  <c r="X128" i="4"/>
  <c r="AF117" i="2" s="1"/>
  <c r="N117" i="2" s="1"/>
  <c r="V128" i="4"/>
  <c r="M128" i="4"/>
  <c r="Y127" i="4"/>
  <c r="AG166" i="2" s="1"/>
  <c r="O166" i="2" s="1"/>
  <c r="X127" i="4"/>
  <c r="AF166" i="2" s="1"/>
  <c r="N166" i="2" s="1"/>
  <c r="V127" i="4"/>
  <c r="M127" i="4"/>
  <c r="AC126" i="4"/>
  <c r="Y126" i="4"/>
  <c r="AG82" i="2" s="1"/>
  <c r="O82" i="2" s="1"/>
  <c r="X126" i="4"/>
  <c r="AF82" i="2" s="1"/>
  <c r="N82" i="2" s="1"/>
  <c r="V126" i="4"/>
  <c r="M126" i="4"/>
  <c r="AC125" i="4"/>
  <c r="Y125" i="4"/>
  <c r="AG61" i="2" s="1"/>
  <c r="O61" i="2" s="1"/>
  <c r="X125" i="4"/>
  <c r="AF61" i="2" s="1"/>
  <c r="N61" i="2" s="1"/>
  <c r="W125" i="4"/>
  <c r="V125" i="4"/>
  <c r="M125" i="4"/>
  <c r="AC124" i="4"/>
  <c r="Y124" i="4"/>
  <c r="AG115" i="2" s="1"/>
  <c r="O115" i="2" s="1"/>
  <c r="X124" i="4"/>
  <c r="AF115" i="2" s="1"/>
  <c r="N115" i="2" s="1"/>
  <c r="V124" i="4"/>
  <c r="M124" i="4"/>
  <c r="AC123" i="4"/>
  <c r="Y123" i="4"/>
  <c r="AG148" i="2" s="1"/>
  <c r="O148" i="2" s="1"/>
  <c r="X123" i="4"/>
  <c r="AF148" i="2" s="1"/>
  <c r="N148" i="2" s="1"/>
  <c r="W123" i="4"/>
  <c r="V123" i="4"/>
  <c r="M123" i="4"/>
  <c r="AC122" i="4"/>
  <c r="Y122" i="4"/>
  <c r="AG162" i="2" s="1"/>
  <c r="O162" i="2" s="1"/>
  <c r="X122" i="4"/>
  <c r="AF162" i="2" s="1"/>
  <c r="N162" i="2" s="1"/>
  <c r="V122" i="4"/>
  <c r="M122" i="4"/>
  <c r="AC121" i="4"/>
  <c r="Y121" i="4"/>
  <c r="AG154" i="2" s="1"/>
  <c r="O154" i="2" s="1"/>
  <c r="X121" i="4"/>
  <c r="AF154" i="2" s="1"/>
  <c r="N154" i="2" s="1"/>
  <c r="W121" i="4"/>
  <c r="V121" i="4"/>
  <c r="M121" i="4"/>
  <c r="AC120" i="4"/>
  <c r="Y120" i="4"/>
  <c r="AG140" i="2" s="1"/>
  <c r="O140" i="2" s="1"/>
  <c r="X120" i="4"/>
  <c r="AF140" i="2" s="1"/>
  <c r="N140" i="2" s="1"/>
  <c r="W120" i="4"/>
  <c r="V120" i="4"/>
  <c r="M120" i="4"/>
  <c r="AC119" i="4"/>
  <c r="Y119" i="4"/>
  <c r="AG122" i="2" s="1"/>
  <c r="O122" i="2" s="1"/>
  <c r="X119" i="4"/>
  <c r="AF122" i="2" s="1"/>
  <c r="N122" i="2" s="1"/>
  <c r="W119" i="4"/>
  <c r="V119" i="4"/>
  <c r="M119" i="4"/>
  <c r="AC118" i="4"/>
  <c r="Y118" i="4"/>
  <c r="AG150" i="2" s="1"/>
  <c r="O150" i="2" s="1"/>
  <c r="X118" i="4"/>
  <c r="AF150" i="2" s="1"/>
  <c r="N150" i="2" s="1"/>
  <c r="W118" i="4"/>
  <c r="V118" i="4"/>
  <c r="M118" i="4"/>
  <c r="AC117" i="4"/>
  <c r="Y117" i="4"/>
  <c r="AG145" i="2" s="1"/>
  <c r="O145" i="2" s="1"/>
  <c r="X117" i="4"/>
  <c r="AF145" i="2" s="1"/>
  <c r="N145" i="2" s="1"/>
  <c r="V117" i="4"/>
  <c r="M117" i="4"/>
  <c r="AC116" i="4"/>
  <c r="Y116" i="4"/>
  <c r="AG144" i="2" s="1"/>
  <c r="O144" i="2" s="1"/>
  <c r="X116" i="4"/>
  <c r="AF144" i="2" s="1"/>
  <c r="N144" i="2" s="1"/>
  <c r="V116" i="4"/>
  <c r="M116" i="4"/>
  <c r="AC115" i="4"/>
  <c r="Y115" i="4"/>
  <c r="AG139" i="2" s="1"/>
  <c r="O139" i="2" s="1"/>
  <c r="X115" i="4"/>
  <c r="AF139" i="2" s="1"/>
  <c r="N139" i="2" s="1"/>
  <c r="W115" i="4"/>
  <c r="V115" i="4"/>
  <c r="M115" i="4"/>
  <c r="AC114" i="4"/>
  <c r="Y114" i="4"/>
  <c r="AG123" i="2" s="1"/>
  <c r="O123" i="2" s="1"/>
  <c r="X114" i="4"/>
  <c r="AF123" i="2" s="1"/>
  <c r="N123" i="2" s="1"/>
  <c r="V114" i="4"/>
  <c r="M114" i="4"/>
  <c r="AC113" i="4"/>
  <c r="Y113" i="4"/>
  <c r="AG89" i="2" s="1"/>
  <c r="O89" i="2" s="1"/>
  <c r="X113" i="4"/>
  <c r="AF89" i="2" s="1"/>
  <c r="N89" i="2" s="1"/>
  <c r="W113" i="4"/>
  <c r="V113" i="4"/>
  <c r="M113" i="4"/>
  <c r="AC112" i="4"/>
  <c r="Y112" i="4"/>
  <c r="AG130" i="2" s="1"/>
  <c r="O130" i="2" s="1"/>
  <c r="X112" i="4"/>
  <c r="AF130" i="2" s="1"/>
  <c r="N130" i="2" s="1"/>
  <c r="V112" i="4"/>
  <c r="M112" i="4"/>
  <c r="AC111" i="4"/>
  <c r="Y111" i="4"/>
  <c r="AG114" i="2" s="1"/>
  <c r="O114" i="2" s="1"/>
  <c r="X111" i="4"/>
  <c r="AF114" i="2" s="1"/>
  <c r="N114" i="2" s="1"/>
  <c r="W111" i="4"/>
  <c r="V111" i="4"/>
  <c r="M111" i="4"/>
  <c r="AC110" i="4"/>
  <c r="Y110" i="4"/>
  <c r="AG127" i="2" s="1"/>
  <c r="O127" i="2" s="1"/>
  <c r="X110" i="4"/>
  <c r="AF127" i="2" s="1"/>
  <c r="N127" i="2" s="1"/>
  <c r="V110" i="4"/>
  <c r="M110" i="4"/>
  <c r="AC109" i="4"/>
  <c r="Y109" i="4"/>
  <c r="AG124" i="2" s="1"/>
  <c r="O124" i="2" s="1"/>
  <c r="X109" i="4"/>
  <c r="AF124" i="2" s="1"/>
  <c r="N124" i="2" s="1"/>
  <c r="V109" i="4"/>
  <c r="M109" i="4"/>
  <c r="AC108" i="4"/>
  <c r="Y108" i="4"/>
  <c r="AG119" i="2" s="1"/>
  <c r="O119" i="2" s="1"/>
  <c r="X108" i="4"/>
  <c r="AF119" i="2" s="1"/>
  <c r="N119" i="2" s="1"/>
  <c r="V108" i="4"/>
  <c r="M108" i="4"/>
  <c r="AC107" i="4"/>
  <c r="Y107" i="4"/>
  <c r="AG108" i="2" s="1"/>
  <c r="O108" i="2" s="1"/>
  <c r="X107" i="4"/>
  <c r="AF108" i="2" s="1"/>
  <c r="N108" i="2" s="1"/>
  <c r="V107" i="4"/>
  <c r="M107" i="4"/>
  <c r="AC106" i="4"/>
  <c r="Y106" i="4"/>
  <c r="AG107" i="2" s="1"/>
  <c r="O107" i="2" s="1"/>
  <c r="X106" i="4"/>
  <c r="AF107" i="2" s="1"/>
  <c r="N107" i="2" s="1"/>
  <c r="V106" i="4"/>
  <c r="M106" i="4"/>
  <c r="AC105" i="4"/>
  <c r="Y105" i="4"/>
  <c r="AG87" i="2" s="1"/>
  <c r="O87" i="2" s="1"/>
  <c r="X105" i="4"/>
  <c r="AF87" i="2" s="1"/>
  <c r="N87" i="2" s="1"/>
  <c r="W105" i="4"/>
  <c r="V105" i="4"/>
  <c r="M105" i="4"/>
  <c r="AC104" i="4"/>
  <c r="Y104" i="4"/>
  <c r="AG118" i="2" s="1"/>
  <c r="O118" i="2" s="1"/>
  <c r="X104" i="4"/>
  <c r="AF118" i="2" s="1"/>
  <c r="N118" i="2" s="1"/>
  <c r="V104" i="4"/>
  <c r="M104" i="4"/>
  <c r="AC103" i="4"/>
  <c r="Y103" i="4"/>
  <c r="AG129" i="2" s="1"/>
  <c r="O129" i="2" s="1"/>
  <c r="X103" i="4"/>
  <c r="AF129" i="2" s="1"/>
  <c r="N129" i="2" s="1"/>
  <c r="V103" i="4"/>
  <c r="M103" i="4"/>
  <c r="AC102" i="4"/>
  <c r="Y102" i="4"/>
  <c r="AG101" i="2" s="1"/>
  <c r="O101" i="2" s="1"/>
  <c r="X102" i="4"/>
  <c r="AF101" i="2" s="1"/>
  <c r="N101" i="2" s="1"/>
  <c r="V102" i="4"/>
  <c r="M102" i="4"/>
  <c r="AC101" i="4"/>
  <c r="Y101" i="4"/>
  <c r="AG116" i="2" s="1"/>
  <c r="O116" i="2" s="1"/>
  <c r="X101" i="4"/>
  <c r="AF116" i="2" s="1"/>
  <c r="N116" i="2" s="1"/>
  <c r="V101" i="4"/>
  <c r="M101" i="4"/>
  <c r="AC100" i="4"/>
  <c r="Y100" i="4"/>
  <c r="AG83" i="2" s="1"/>
  <c r="O83" i="2" s="1"/>
  <c r="X100" i="4"/>
  <c r="AF83" i="2" s="1"/>
  <c r="N83" i="2" s="1"/>
  <c r="W100" i="4"/>
  <c r="V100" i="4"/>
  <c r="M100" i="4"/>
  <c r="AC99" i="4"/>
  <c r="Y99" i="4"/>
  <c r="AG65" i="2" s="1"/>
  <c r="O65" i="2" s="1"/>
  <c r="X99" i="4"/>
  <c r="AF65" i="2" s="1"/>
  <c r="N65" i="2" s="1"/>
  <c r="W99" i="4"/>
  <c r="V99" i="4"/>
  <c r="M99" i="4"/>
  <c r="AC98" i="4"/>
  <c r="Y98" i="4"/>
  <c r="AG121" i="2" s="1"/>
  <c r="O121" i="2" s="1"/>
  <c r="X98" i="4"/>
  <c r="AF121" i="2" s="1"/>
  <c r="N121" i="2" s="1"/>
  <c r="W98" i="4"/>
  <c r="V98" i="4"/>
  <c r="M98" i="4"/>
  <c r="AC97" i="4"/>
  <c r="Y97" i="4"/>
  <c r="AG111" i="2" s="1"/>
  <c r="O111" i="2" s="1"/>
  <c r="X97" i="4"/>
  <c r="AF111" i="2" s="1"/>
  <c r="N111" i="2" s="1"/>
  <c r="V97" i="4"/>
  <c r="M97" i="4"/>
  <c r="AC96" i="4"/>
  <c r="Y96" i="4"/>
  <c r="AG120" i="2" s="1"/>
  <c r="O120" i="2" s="1"/>
  <c r="X96" i="4"/>
  <c r="AF120" i="2" s="1"/>
  <c r="N120" i="2" s="1"/>
  <c r="V96" i="4"/>
  <c r="M96" i="4"/>
  <c r="AC95" i="4"/>
  <c r="Y95" i="4"/>
  <c r="AG110" i="2" s="1"/>
  <c r="O110" i="2" s="1"/>
  <c r="X95" i="4"/>
  <c r="AF110" i="2" s="1"/>
  <c r="N110" i="2" s="1"/>
  <c r="V95" i="4"/>
  <c r="M95" i="4"/>
  <c r="AC94" i="4"/>
  <c r="Y94" i="4"/>
  <c r="AG90" i="2" s="1"/>
  <c r="O90" i="2" s="1"/>
  <c r="X94" i="4"/>
  <c r="AF90" i="2" s="1"/>
  <c r="N90" i="2" s="1"/>
  <c r="W94" i="4"/>
  <c r="V94" i="4"/>
  <c r="M94" i="4"/>
  <c r="AC93" i="4"/>
  <c r="Y93" i="4"/>
  <c r="AG93" i="2" s="1"/>
  <c r="O93" i="2" s="1"/>
  <c r="X93" i="4"/>
  <c r="AF93" i="2" s="1"/>
  <c r="N93" i="2" s="1"/>
  <c r="V93" i="4"/>
  <c r="M93" i="4"/>
  <c r="AC92" i="4"/>
  <c r="Y92" i="4"/>
  <c r="AG79" i="2" s="1"/>
  <c r="O79" i="2" s="1"/>
  <c r="X92" i="4"/>
  <c r="AF79" i="2" s="1"/>
  <c r="N79" i="2" s="1"/>
  <c r="V92" i="4"/>
  <c r="M92" i="4"/>
  <c r="AC91" i="4"/>
  <c r="Y91" i="4"/>
  <c r="AG104" i="2" s="1"/>
  <c r="O104" i="2" s="1"/>
  <c r="X91" i="4"/>
  <c r="AF104" i="2" s="1"/>
  <c r="N104" i="2" s="1"/>
  <c r="V91" i="4"/>
  <c r="M91" i="4"/>
  <c r="AC90" i="4"/>
  <c r="Y90" i="4"/>
  <c r="AG72" i="2" s="1"/>
  <c r="O72" i="2" s="1"/>
  <c r="X90" i="4"/>
  <c r="AF72" i="2" s="1"/>
  <c r="N72" i="2" s="1"/>
  <c r="V90" i="4"/>
  <c r="M90" i="4"/>
  <c r="AC89" i="4"/>
  <c r="Y89" i="4"/>
  <c r="AG98" i="2" s="1"/>
  <c r="O98" i="2" s="1"/>
  <c r="X89" i="4"/>
  <c r="AF98" i="2" s="1"/>
  <c r="N98" i="2" s="1"/>
  <c r="V89" i="4"/>
  <c r="M89" i="4"/>
  <c r="AC88" i="4"/>
  <c r="Y88" i="4"/>
  <c r="AG102" i="2" s="1"/>
  <c r="O102" i="2" s="1"/>
  <c r="X88" i="4"/>
  <c r="AF102" i="2" s="1"/>
  <c r="N102" i="2" s="1"/>
  <c r="V88" i="4"/>
  <c r="M88" i="4"/>
  <c r="AC87" i="4"/>
  <c r="Y87" i="4"/>
  <c r="AG77" i="2" s="1"/>
  <c r="O77" i="2" s="1"/>
  <c r="X87" i="4"/>
  <c r="AF77" i="2" s="1"/>
  <c r="N77" i="2" s="1"/>
  <c r="V87" i="4"/>
  <c r="M87" i="4"/>
  <c r="AC86" i="4"/>
  <c r="Y86" i="4"/>
  <c r="AG109" i="2" s="1"/>
  <c r="O109" i="2" s="1"/>
  <c r="X86" i="4"/>
  <c r="AF109" i="2" s="1"/>
  <c r="N109" i="2" s="1"/>
  <c r="W86" i="4"/>
  <c r="V86" i="4"/>
  <c r="M86" i="4"/>
  <c r="AC85" i="4"/>
  <c r="Y85" i="4"/>
  <c r="AG86" i="2" s="1"/>
  <c r="O86" i="2" s="1"/>
  <c r="X85" i="4"/>
  <c r="AF86" i="2" s="1"/>
  <c r="N86" i="2" s="1"/>
  <c r="V85" i="4"/>
  <c r="M85" i="4"/>
  <c r="AC84" i="4"/>
  <c r="Y84" i="4"/>
  <c r="AG95" i="2" s="1"/>
  <c r="O95" i="2" s="1"/>
  <c r="X84" i="4"/>
  <c r="AF95" i="2" s="1"/>
  <c r="N95" i="2" s="1"/>
  <c r="V84" i="4"/>
  <c r="M84" i="4"/>
  <c r="AC83" i="4"/>
  <c r="Y83" i="4"/>
  <c r="AG94" i="2" s="1"/>
  <c r="O94" i="2" s="1"/>
  <c r="X83" i="4"/>
  <c r="AF94" i="2" s="1"/>
  <c r="N94" i="2" s="1"/>
  <c r="V83" i="4"/>
  <c r="M83" i="4"/>
  <c r="AC82" i="4"/>
  <c r="Y82" i="4"/>
  <c r="AG73" i="2" s="1"/>
  <c r="O73" i="2" s="1"/>
  <c r="X82" i="4"/>
  <c r="AF73" i="2" s="1"/>
  <c r="N73" i="2" s="1"/>
  <c r="V82" i="4"/>
  <c r="M82" i="4"/>
  <c r="AC81" i="4"/>
  <c r="Y81" i="4"/>
  <c r="AG80" i="2" s="1"/>
  <c r="O80" i="2" s="1"/>
  <c r="X81" i="4"/>
  <c r="AF80" i="2" s="1"/>
  <c r="N80" i="2" s="1"/>
  <c r="W81" i="4"/>
  <c r="V81" i="4"/>
  <c r="M81" i="4"/>
  <c r="AC80" i="4"/>
  <c r="Y80" i="4"/>
  <c r="AG71" i="2" s="1"/>
  <c r="O71" i="2" s="1"/>
  <c r="X80" i="4"/>
  <c r="AF71" i="2" s="1"/>
  <c r="N71" i="2" s="1"/>
  <c r="V80" i="4"/>
  <c r="M80" i="4"/>
  <c r="AC79" i="4"/>
  <c r="Y79" i="4"/>
  <c r="AG99" i="2" s="1"/>
  <c r="O99" i="2" s="1"/>
  <c r="X79" i="4"/>
  <c r="AF99" i="2" s="1"/>
  <c r="N99" i="2" s="1"/>
  <c r="V79" i="4"/>
  <c r="M79" i="4"/>
  <c r="AC78" i="4"/>
  <c r="Y78" i="4"/>
  <c r="AG97" i="2" s="1"/>
  <c r="O97" i="2" s="1"/>
  <c r="X78" i="4"/>
  <c r="AF97" i="2" s="1"/>
  <c r="N97" i="2" s="1"/>
  <c r="V78" i="4"/>
  <c r="M78" i="4"/>
  <c r="AC77" i="4"/>
  <c r="Y77" i="4"/>
  <c r="AG85" i="2" s="1"/>
  <c r="O85" i="2" s="1"/>
  <c r="X77" i="4"/>
  <c r="AF85" i="2" s="1"/>
  <c r="N85" i="2" s="1"/>
  <c r="W77" i="4"/>
  <c r="V77" i="4"/>
  <c r="M77" i="4"/>
  <c r="AC76" i="4"/>
  <c r="Y76" i="4"/>
  <c r="AG64" i="2" s="1"/>
  <c r="O64" i="2" s="1"/>
  <c r="X76" i="4"/>
  <c r="AF64" i="2" s="1"/>
  <c r="N64" i="2" s="1"/>
  <c r="W76" i="4"/>
  <c r="V76" i="4"/>
  <c r="M76" i="4"/>
  <c r="AC75" i="4"/>
  <c r="Y75" i="4"/>
  <c r="AG62" i="2" s="1"/>
  <c r="O62" i="2" s="1"/>
  <c r="X75" i="4"/>
  <c r="AF62" i="2" s="1"/>
  <c r="N62" i="2" s="1"/>
  <c r="V75" i="4"/>
  <c r="M75" i="4"/>
  <c r="AC74" i="4"/>
  <c r="Y74" i="4"/>
  <c r="AG60" i="2" s="1"/>
  <c r="O60" i="2" s="1"/>
  <c r="X74" i="4"/>
  <c r="AF60" i="2" s="1"/>
  <c r="N60" i="2" s="1"/>
  <c r="V74" i="4"/>
  <c r="M74" i="4"/>
  <c r="AC73" i="4"/>
  <c r="Y73" i="4"/>
  <c r="AG81" i="2" s="1"/>
  <c r="O81" i="2" s="1"/>
  <c r="X73" i="4"/>
  <c r="AF81" i="2" s="1"/>
  <c r="N81" i="2" s="1"/>
  <c r="V73" i="4"/>
  <c r="M73" i="4"/>
  <c r="AC72" i="4"/>
  <c r="Y72" i="4"/>
  <c r="AG84" i="2" s="1"/>
  <c r="O84" i="2" s="1"/>
  <c r="X72" i="4"/>
  <c r="AF84" i="2" s="1"/>
  <c r="N84" i="2" s="1"/>
  <c r="W72" i="4"/>
  <c r="V72" i="4"/>
  <c r="M72" i="4"/>
  <c r="AC71" i="4"/>
  <c r="Y71" i="4"/>
  <c r="AG69" i="2" s="1"/>
  <c r="O69" i="2" s="1"/>
  <c r="X71" i="4"/>
  <c r="AF69" i="2" s="1"/>
  <c r="N69" i="2" s="1"/>
  <c r="W71" i="4"/>
  <c r="V71" i="4"/>
  <c r="M71" i="4"/>
  <c r="AC70" i="4"/>
  <c r="Y70" i="4"/>
  <c r="AG88" i="2" s="1"/>
  <c r="O88" i="2" s="1"/>
  <c r="X70" i="4"/>
  <c r="AF88" i="2" s="1"/>
  <c r="N88" i="2" s="1"/>
  <c r="W70" i="4"/>
  <c r="V70" i="4"/>
  <c r="M70" i="4"/>
  <c r="AC69" i="4"/>
  <c r="Y69" i="4"/>
  <c r="AG67" i="2" s="1"/>
  <c r="O67" i="2" s="1"/>
  <c r="X69" i="4"/>
  <c r="AF67" i="2" s="1"/>
  <c r="N67" i="2" s="1"/>
  <c r="V69" i="4"/>
  <c r="M69" i="4"/>
  <c r="AC68" i="4"/>
  <c r="Y68" i="4"/>
  <c r="AG106" i="2" s="1"/>
  <c r="O106" i="2" s="1"/>
  <c r="X68" i="4"/>
  <c r="AF106" i="2" s="1"/>
  <c r="N106" i="2" s="1"/>
  <c r="V68" i="4"/>
  <c r="M68" i="4"/>
  <c r="AC67" i="4"/>
  <c r="Y67" i="4"/>
  <c r="AG66" i="2" s="1"/>
  <c r="O66" i="2" s="1"/>
  <c r="X67" i="4"/>
  <c r="AF66" i="2" s="1"/>
  <c r="N66" i="2" s="1"/>
  <c r="V67" i="4"/>
  <c r="M67" i="4"/>
  <c r="AC66" i="4"/>
  <c r="Y66" i="4"/>
  <c r="AG70" i="2" s="1"/>
  <c r="O70" i="2" s="1"/>
  <c r="X66" i="4"/>
  <c r="AF70" i="2" s="1"/>
  <c r="N70" i="2" s="1"/>
  <c r="V66" i="4"/>
  <c r="M66" i="4"/>
  <c r="AC65" i="4"/>
  <c r="Y65" i="4"/>
  <c r="AG32" i="2" s="1"/>
  <c r="O32" i="2" s="1"/>
  <c r="X65" i="4"/>
  <c r="AF32" i="2" s="1"/>
  <c r="N32" i="2" s="1"/>
  <c r="V65" i="4"/>
  <c r="M65" i="4"/>
  <c r="AC64" i="4"/>
  <c r="Y64" i="4"/>
  <c r="AG78" i="2" s="1"/>
  <c r="O78" i="2" s="1"/>
  <c r="X64" i="4"/>
  <c r="AF78" i="2" s="1"/>
  <c r="N78" i="2" s="1"/>
  <c r="V64" i="4"/>
  <c r="M64" i="4"/>
  <c r="AC63" i="4"/>
  <c r="Y63" i="4"/>
  <c r="AG48" i="2" s="1"/>
  <c r="O48" i="2" s="1"/>
  <c r="X63" i="4"/>
  <c r="AF48" i="2" s="1"/>
  <c r="N48" i="2" s="1"/>
  <c r="V63" i="4"/>
  <c r="M63" i="4"/>
  <c r="AC62" i="4"/>
  <c r="Y62" i="4"/>
  <c r="AG63" i="2" s="1"/>
  <c r="O63" i="2" s="1"/>
  <c r="X62" i="4"/>
  <c r="AF63" i="2" s="1"/>
  <c r="N63" i="2" s="1"/>
  <c r="V62" i="4"/>
  <c r="M62" i="4"/>
  <c r="AC61" i="4"/>
  <c r="Y61" i="4"/>
  <c r="AG43" i="2" s="1"/>
  <c r="O43" i="2" s="1"/>
  <c r="X61" i="4"/>
  <c r="AF43" i="2" s="1"/>
  <c r="N43" i="2" s="1"/>
  <c r="V61" i="4"/>
  <c r="M61" i="4"/>
  <c r="AC60" i="4"/>
  <c r="Y60" i="4"/>
  <c r="AG46" i="2" s="1"/>
  <c r="O46" i="2" s="1"/>
  <c r="X60" i="4"/>
  <c r="AF46" i="2" s="1"/>
  <c r="N46" i="2" s="1"/>
  <c r="V60" i="4"/>
  <c r="M60" i="4"/>
  <c r="AC59" i="4"/>
  <c r="Y59" i="4"/>
  <c r="AG68" i="2" s="1"/>
  <c r="O68" i="2" s="1"/>
  <c r="X59" i="4"/>
  <c r="AF68" i="2" s="1"/>
  <c r="N68" i="2" s="1"/>
  <c r="V59" i="4"/>
  <c r="M59" i="4"/>
  <c r="AC58" i="4"/>
  <c r="Y58" i="4"/>
  <c r="AG41" i="2" s="1"/>
  <c r="O41" i="2" s="1"/>
  <c r="X58" i="4"/>
  <c r="AF41" i="2" s="1"/>
  <c r="N41" i="2" s="1"/>
  <c r="V58" i="4"/>
  <c r="M58" i="4"/>
  <c r="AC57" i="4"/>
  <c r="Y57" i="4"/>
  <c r="AG30" i="2" s="1"/>
  <c r="O30" i="2" s="1"/>
  <c r="X57" i="4"/>
  <c r="AF30" i="2" s="1"/>
  <c r="N30" i="2" s="1"/>
  <c r="V57" i="4"/>
  <c r="M57" i="4"/>
  <c r="AC56" i="4"/>
  <c r="Y56" i="4"/>
  <c r="AG52" i="2" s="1"/>
  <c r="O52" i="2" s="1"/>
  <c r="X56" i="4"/>
  <c r="AF52" i="2" s="1"/>
  <c r="N52" i="2" s="1"/>
  <c r="V56" i="4"/>
  <c r="M56" i="4"/>
  <c r="AC55" i="4"/>
  <c r="Y55" i="4"/>
  <c r="AG55" i="2" s="1"/>
  <c r="O55" i="2" s="1"/>
  <c r="X55" i="4"/>
  <c r="AF55" i="2" s="1"/>
  <c r="N55" i="2" s="1"/>
  <c r="W55" i="4"/>
  <c r="V55" i="4"/>
  <c r="M55" i="4"/>
  <c r="AC54" i="4"/>
  <c r="Y54" i="4"/>
  <c r="AG76" i="2" s="1"/>
  <c r="O76" i="2" s="1"/>
  <c r="X54" i="4"/>
  <c r="AF76" i="2" s="1"/>
  <c r="N76" i="2" s="1"/>
  <c r="V54" i="4"/>
  <c r="M54" i="4"/>
  <c r="AC53" i="4"/>
  <c r="Y53" i="4"/>
  <c r="AG37" i="2" s="1"/>
  <c r="O37" i="2" s="1"/>
  <c r="X53" i="4"/>
  <c r="AF37" i="2" s="1"/>
  <c r="N37" i="2" s="1"/>
  <c r="V53" i="4"/>
  <c r="M53" i="4"/>
  <c r="AC52" i="4"/>
  <c r="Y52" i="4"/>
  <c r="AG47" i="2" s="1"/>
  <c r="O47" i="2" s="1"/>
  <c r="X52" i="4"/>
  <c r="AF47" i="2" s="1"/>
  <c r="N47" i="2" s="1"/>
  <c r="V52" i="4"/>
  <c r="M52" i="4"/>
  <c r="AC51" i="4"/>
  <c r="Y51" i="4"/>
  <c r="AG57" i="2" s="1"/>
  <c r="O57" i="2" s="1"/>
  <c r="X51" i="4"/>
  <c r="AF57" i="2" s="1"/>
  <c r="N57" i="2" s="1"/>
  <c r="V51" i="4"/>
  <c r="M51" i="4"/>
  <c r="AC50" i="4"/>
  <c r="Y50" i="4"/>
  <c r="AG56" i="2" s="1"/>
  <c r="O56" i="2" s="1"/>
  <c r="X50" i="4"/>
  <c r="AF56" i="2" s="1"/>
  <c r="N56" i="2" s="1"/>
  <c r="V50" i="4"/>
  <c r="M50" i="4"/>
  <c r="AC49" i="4"/>
  <c r="Y49" i="4"/>
  <c r="AG40" i="2" s="1"/>
  <c r="O40" i="2" s="1"/>
  <c r="X49" i="4"/>
  <c r="AF40" i="2" s="1"/>
  <c r="N40" i="2" s="1"/>
  <c r="V49" i="4"/>
  <c r="M49" i="4"/>
  <c r="AC48" i="4"/>
  <c r="Y48" i="4"/>
  <c r="AG39" i="2" s="1"/>
  <c r="O39" i="2" s="1"/>
  <c r="X48" i="4"/>
  <c r="AF39" i="2" s="1"/>
  <c r="N39" i="2" s="1"/>
  <c r="V48" i="4"/>
  <c r="M48" i="4"/>
  <c r="AC47" i="4"/>
  <c r="Y47" i="4"/>
  <c r="AG53" i="2" s="1"/>
  <c r="O53" i="2" s="1"/>
  <c r="X47" i="4"/>
  <c r="AF53" i="2" s="1"/>
  <c r="N53" i="2" s="1"/>
  <c r="V47" i="4"/>
  <c r="M47" i="4"/>
  <c r="AC46" i="4"/>
  <c r="Y46" i="4"/>
  <c r="AG75" i="2" s="1"/>
  <c r="O75" i="2" s="1"/>
  <c r="X46" i="4"/>
  <c r="AF75" i="2" s="1"/>
  <c r="N75" i="2" s="1"/>
  <c r="W46" i="4"/>
  <c r="V46" i="4"/>
  <c r="M46" i="4"/>
  <c r="AC45" i="4"/>
  <c r="Y45" i="4"/>
  <c r="AG58" i="2" s="1"/>
  <c r="O58" i="2" s="1"/>
  <c r="X45" i="4"/>
  <c r="AF58" i="2" s="1"/>
  <c r="N58" i="2" s="1"/>
  <c r="V45" i="4"/>
  <c r="M45" i="4"/>
  <c r="AC44" i="4"/>
  <c r="Y44" i="4"/>
  <c r="AG35" i="2" s="1"/>
  <c r="O35" i="2" s="1"/>
  <c r="X44" i="4"/>
  <c r="AF35" i="2" s="1"/>
  <c r="N35" i="2" s="1"/>
  <c r="V44" i="4"/>
  <c r="M44" i="4"/>
  <c r="AC43" i="4"/>
  <c r="Y43" i="4"/>
  <c r="AG59" i="2" s="1"/>
  <c r="O59" i="2" s="1"/>
  <c r="X43" i="4"/>
  <c r="AF59" i="2" s="1"/>
  <c r="N59" i="2" s="1"/>
  <c r="V43" i="4"/>
  <c r="M43" i="4"/>
  <c r="AC42" i="4"/>
  <c r="Y42" i="4"/>
  <c r="AG36" i="2" s="1"/>
  <c r="O36" i="2" s="1"/>
  <c r="X42" i="4"/>
  <c r="AF36" i="2" s="1"/>
  <c r="N36" i="2" s="1"/>
  <c r="V42" i="4"/>
  <c r="M42" i="4"/>
  <c r="AC41" i="4"/>
  <c r="Y41" i="4"/>
  <c r="X41" i="4"/>
  <c r="V41" i="4"/>
  <c r="M41" i="4"/>
  <c r="Y40" i="4"/>
  <c r="X40" i="4"/>
  <c r="V40" i="4"/>
  <c r="M40" i="4"/>
  <c r="Y39" i="4"/>
  <c r="X39" i="4"/>
  <c r="W39" i="4"/>
  <c r="V39" i="4"/>
  <c r="M39" i="4"/>
  <c r="Y38" i="4"/>
  <c r="X38" i="4"/>
  <c r="V38" i="4"/>
  <c r="M38" i="4"/>
  <c r="Y37" i="4"/>
  <c r="X37" i="4"/>
  <c r="W37" i="4"/>
  <c r="V37" i="4"/>
  <c r="M37" i="4"/>
  <c r="Y36" i="4"/>
  <c r="X36" i="4"/>
  <c r="W36" i="4"/>
  <c r="V36" i="4"/>
  <c r="M36" i="4"/>
  <c r="Y35" i="4"/>
  <c r="X35" i="4"/>
  <c r="V35" i="4"/>
  <c r="M35" i="4"/>
  <c r="Y34" i="4"/>
  <c r="X34" i="4"/>
  <c r="V34" i="4"/>
  <c r="M34" i="4"/>
  <c r="Y33" i="4"/>
  <c r="X33" i="4"/>
  <c r="V33" i="4"/>
  <c r="M33" i="4"/>
  <c r="Y32" i="4"/>
  <c r="X32" i="4"/>
  <c r="V32" i="4"/>
  <c r="M32" i="4"/>
  <c r="Y31" i="4"/>
  <c r="X31" i="4"/>
  <c r="V31" i="4"/>
  <c r="M31" i="4"/>
  <c r="Y30" i="4"/>
  <c r="X30" i="4"/>
  <c r="W30" i="4"/>
  <c r="V30" i="4"/>
  <c r="M30" i="4"/>
  <c r="Y29" i="4"/>
  <c r="X29" i="4"/>
  <c r="V29" i="4"/>
  <c r="M29" i="4"/>
  <c r="Y28" i="4"/>
  <c r="X28" i="4"/>
  <c r="V28" i="4"/>
  <c r="M28" i="4"/>
  <c r="AC27" i="4"/>
  <c r="Y27" i="4"/>
  <c r="X27" i="4"/>
  <c r="V27" i="4"/>
  <c r="M27" i="4"/>
  <c r="AC26" i="4"/>
  <c r="Y26" i="4"/>
  <c r="X26" i="4"/>
  <c r="V26" i="4"/>
  <c r="M26" i="4"/>
  <c r="AC25" i="4"/>
  <c r="Y25" i="4"/>
  <c r="X25" i="4"/>
  <c r="V25" i="4"/>
  <c r="M25" i="4"/>
  <c r="Y24" i="4"/>
  <c r="X24" i="4"/>
  <c r="V24" i="4"/>
  <c r="M24" i="4"/>
  <c r="AC23" i="4"/>
  <c r="Y23" i="4"/>
  <c r="X23" i="4"/>
  <c r="V23" i="4"/>
  <c r="M23" i="4"/>
  <c r="AC22" i="4"/>
  <c r="Y22" i="4"/>
  <c r="X22" i="4"/>
  <c r="W22" i="4"/>
  <c r="V22" i="4"/>
  <c r="M22" i="4"/>
  <c r="Y21" i="4"/>
  <c r="X21" i="4"/>
  <c r="W21" i="4"/>
  <c r="V21" i="4"/>
  <c r="M21" i="4"/>
  <c r="AC20" i="4"/>
  <c r="Y20" i="4"/>
  <c r="X20" i="4"/>
  <c r="V20" i="4"/>
  <c r="M20" i="4"/>
  <c r="Y19" i="4"/>
  <c r="X19" i="4"/>
  <c r="V19" i="4"/>
  <c r="M19" i="4"/>
  <c r="AC18" i="4"/>
  <c r="Y18" i="4"/>
  <c r="X18" i="4"/>
  <c r="V18" i="4"/>
  <c r="M18" i="4"/>
  <c r="Y17" i="4"/>
  <c r="X17" i="4"/>
  <c r="V17" i="4"/>
  <c r="M17" i="4"/>
  <c r="Y16" i="4"/>
  <c r="X16" i="4"/>
  <c r="V16" i="4"/>
  <c r="M16" i="4"/>
  <c r="AC15" i="4"/>
  <c r="Y15" i="4"/>
  <c r="X15" i="4"/>
  <c r="V15" i="4"/>
  <c r="M15" i="4"/>
  <c r="Y14" i="4"/>
  <c r="X14" i="4"/>
  <c r="V14" i="4"/>
  <c r="M14" i="4"/>
  <c r="AC13" i="4"/>
  <c r="Y13" i="4"/>
  <c r="X13" i="4"/>
  <c r="V13" i="4"/>
  <c r="M13" i="4"/>
  <c r="Y12" i="4"/>
  <c r="X12" i="4"/>
  <c r="V12" i="4"/>
  <c r="M12" i="4"/>
  <c r="AC11" i="4"/>
  <c r="Y11" i="4"/>
  <c r="X11" i="4"/>
  <c r="V11" i="4"/>
  <c r="M11" i="4"/>
  <c r="Y10" i="4"/>
  <c r="X10" i="4"/>
  <c r="V10" i="4"/>
  <c r="M10" i="4"/>
  <c r="AC9" i="4"/>
  <c r="Y9" i="4"/>
  <c r="X9" i="4"/>
  <c r="V9" i="4"/>
  <c r="M9" i="4"/>
  <c r="AC8" i="4"/>
  <c r="Y8" i="4"/>
  <c r="X8" i="4"/>
  <c r="W8" i="4"/>
  <c r="V8" i="4"/>
  <c r="M8" i="4"/>
  <c r="Y7" i="4"/>
  <c r="X7" i="4"/>
  <c r="V7" i="4"/>
  <c r="M7" i="4"/>
  <c r="Y6" i="4"/>
  <c r="X6" i="4"/>
  <c r="V6" i="4"/>
  <c r="M6" i="4"/>
  <c r="B13" i="3"/>
  <c r="Q34" i="2" s="1"/>
  <c r="R34" i="2" s="1"/>
  <c r="B9" i="3"/>
  <c r="B8" i="3"/>
  <c r="B7" i="3"/>
  <c r="B6" i="3"/>
  <c r="B5" i="10" s="1"/>
  <c r="F200" i="2"/>
  <c r="R191" i="2"/>
  <c r="K191" i="2"/>
  <c r="R199" i="2"/>
  <c r="Q189" i="2"/>
  <c r="R189" i="2" s="1"/>
  <c r="Q197" i="2"/>
  <c r="R197" i="2" s="1"/>
  <c r="R175" i="2"/>
  <c r="R198" i="2"/>
  <c r="K198" i="2"/>
  <c r="R196" i="2"/>
  <c r="R190" i="2"/>
  <c r="K190" i="2"/>
  <c r="R161" i="2"/>
  <c r="K161" i="2"/>
  <c r="R157" i="2"/>
  <c r="K157" i="2"/>
  <c r="R146" i="2"/>
  <c r="K146" i="2"/>
  <c r="R187" i="2"/>
  <c r="K187" i="2"/>
  <c r="R178" i="2"/>
  <c r="K178" i="2"/>
  <c r="R174" i="2"/>
  <c r="K174" i="2"/>
  <c r="R173" i="2"/>
  <c r="K173" i="2"/>
  <c r="R151" i="2"/>
  <c r="K151" i="2"/>
  <c r="R184" i="2"/>
  <c r="K184" i="2"/>
  <c r="R170" i="2"/>
  <c r="K170" i="2"/>
  <c r="R164" i="2"/>
  <c r="K164" i="2"/>
  <c r="R168" i="2"/>
  <c r="K168" i="2"/>
  <c r="R138" i="2"/>
  <c r="K138" i="2"/>
  <c r="R135" i="2"/>
  <c r="K135" i="2"/>
  <c r="R156" i="2"/>
  <c r="K156" i="2"/>
  <c r="R155" i="2"/>
  <c r="K155" i="2"/>
  <c r="R158" i="2"/>
  <c r="K158" i="2"/>
  <c r="R152" i="2"/>
  <c r="K152" i="2"/>
  <c r="R149" i="2"/>
  <c r="K149" i="2"/>
  <c r="R134" i="2"/>
  <c r="K134" i="2"/>
  <c r="R92" i="2"/>
  <c r="K92" i="2"/>
  <c r="R143" i="2"/>
  <c r="K143" i="2"/>
  <c r="R105" i="2"/>
  <c r="K105" i="2"/>
  <c r="R103" i="2"/>
  <c r="K103" i="2"/>
  <c r="R141" i="2"/>
  <c r="K141" i="2"/>
  <c r="R128" i="2"/>
  <c r="K128" i="2"/>
  <c r="R131" i="2"/>
  <c r="K131" i="2"/>
  <c r="Q147" i="2"/>
  <c r="R147" i="2" s="1"/>
  <c r="K147" i="2"/>
  <c r="R142" i="2"/>
  <c r="K142" i="2"/>
  <c r="R133" i="2"/>
  <c r="K133" i="2"/>
  <c r="R132" i="2"/>
  <c r="R91" i="2"/>
  <c r="R126" i="2"/>
  <c r="R100" i="2"/>
  <c r="Q96" i="2"/>
  <c r="R96" i="2" s="1"/>
  <c r="R74" i="2"/>
  <c r="Q194" i="2"/>
  <c r="R194" i="2" s="1"/>
  <c r="Q193" i="2"/>
  <c r="R193" i="2" s="1"/>
  <c r="Q195" i="2"/>
  <c r="R195" i="2" s="1"/>
  <c r="Q181" i="2"/>
  <c r="R181" i="2" s="1"/>
  <c r="Q180" i="2"/>
  <c r="R180" i="2" s="1"/>
  <c r="Q188" i="2"/>
  <c r="R188" i="2" s="1"/>
  <c r="Q182" i="2"/>
  <c r="R182" i="2" s="1"/>
  <c r="Q172" i="2"/>
  <c r="R172" i="2" s="1"/>
  <c r="Q179" i="2"/>
  <c r="R179" i="2" s="1"/>
  <c r="Q192" i="2"/>
  <c r="R192" i="2" s="1"/>
  <c r="Q186" i="2"/>
  <c r="R186" i="2" s="1"/>
  <c r="Q185" i="2"/>
  <c r="R185" i="2" s="1"/>
  <c r="Q176" i="2"/>
  <c r="R176" i="2" s="1"/>
  <c r="Q177" i="2"/>
  <c r="R177" i="2" s="1"/>
  <c r="Q183" i="2"/>
  <c r="R183" i="2" s="1"/>
  <c r="Q171" i="2"/>
  <c r="R171" i="2" s="1"/>
  <c r="Q169" i="2"/>
  <c r="R169" i="2" s="1"/>
  <c r="Q163" i="2"/>
  <c r="R163" i="2" s="1"/>
  <c r="Q160" i="2"/>
  <c r="R160" i="2" s="1"/>
  <c r="Q159" i="2"/>
  <c r="R159" i="2" s="1"/>
  <c r="Q167" i="2"/>
  <c r="R167" i="2" s="1"/>
  <c r="Q137" i="2"/>
  <c r="R137" i="2" s="1"/>
  <c r="K137" i="2"/>
  <c r="Q165" i="2"/>
  <c r="R165" i="2" s="1"/>
  <c r="K165" i="2"/>
  <c r="Q125" i="2"/>
  <c r="R125" i="2" s="1"/>
  <c r="K125" i="2"/>
  <c r="R113" i="2"/>
  <c r="K113" i="2"/>
  <c r="R112" i="2"/>
  <c r="K112" i="2"/>
  <c r="Q153" i="2"/>
  <c r="R153" i="2" s="1"/>
  <c r="K153" i="2"/>
  <c r="Q136" i="2"/>
  <c r="R136" i="2" s="1"/>
  <c r="K136" i="2"/>
  <c r="Q117" i="2"/>
  <c r="R117" i="2" s="1"/>
  <c r="K117" i="2"/>
  <c r="Q166" i="2"/>
  <c r="R166" i="2" s="1"/>
  <c r="K166" i="2"/>
  <c r="R82" i="2"/>
  <c r="K82" i="2"/>
  <c r="R61" i="2"/>
  <c r="K61" i="2"/>
  <c r="Q115" i="2"/>
  <c r="R115" i="2" s="1"/>
  <c r="K115" i="2"/>
  <c r="Q148" i="2"/>
  <c r="R148" i="2" s="1"/>
  <c r="K148" i="2"/>
  <c r="Q162" i="2"/>
  <c r="R162" i="2" s="1"/>
  <c r="K162" i="2"/>
  <c r="Q154" i="2"/>
  <c r="R154" i="2" s="1"/>
  <c r="K154" i="2"/>
  <c r="Q140" i="2"/>
  <c r="R140" i="2" s="1"/>
  <c r="K140" i="2"/>
  <c r="Q122" i="2"/>
  <c r="R122" i="2" s="1"/>
  <c r="K122" i="2"/>
  <c r="Q150" i="2"/>
  <c r="R150" i="2" s="1"/>
  <c r="K150" i="2"/>
  <c r="Q145" i="2"/>
  <c r="R145" i="2" s="1"/>
  <c r="K145" i="2"/>
  <c r="Q144" i="2"/>
  <c r="R144" i="2" s="1"/>
  <c r="K144" i="2"/>
  <c r="Q139" i="2"/>
  <c r="R139" i="2" s="1"/>
  <c r="K139" i="2"/>
  <c r="Q123" i="2"/>
  <c r="R123" i="2" s="1"/>
  <c r="K123" i="2"/>
  <c r="R89" i="2"/>
  <c r="K89" i="2"/>
  <c r="Q130" i="2"/>
  <c r="R130" i="2" s="1"/>
  <c r="K130" i="2"/>
  <c r="Q114" i="2"/>
  <c r="R114" i="2" s="1"/>
  <c r="K114" i="2"/>
  <c r="Q127" i="2"/>
  <c r="R127" i="2" s="1"/>
  <c r="K127" i="2"/>
  <c r="Q124" i="2"/>
  <c r="R124" i="2" s="1"/>
  <c r="Q119" i="2"/>
  <c r="R119" i="2" s="1"/>
  <c r="Q108" i="2"/>
  <c r="R108" i="2" s="1"/>
  <c r="Q107" i="2"/>
  <c r="R107" i="2" s="1"/>
  <c r="R87" i="2"/>
  <c r="Q118" i="2"/>
  <c r="R118" i="2" s="1"/>
  <c r="Q129" i="2"/>
  <c r="R129" i="2" s="1"/>
  <c r="R101" i="2"/>
  <c r="Q116" i="2"/>
  <c r="R116" i="2" s="1"/>
  <c r="Q83" i="2"/>
  <c r="R83" i="2" s="1"/>
  <c r="Q65" i="2"/>
  <c r="R65" i="2" s="1"/>
  <c r="Q121" i="2"/>
  <c r="R121" i="2" s="1"/>
  <c r="Q111" i="2"/>
  <c r="R111" i="2" s="1"/>
  <c r="Q120" i="2"/>
  <c r="R120" i="2" s="1"/>
  <c r="Q110" i="2"/>
  <c r="R110" i="2" s="1"/>
  <c r="R90" i="2"/>
  <c r="Q93" i="2"/>
  <c r="R93" i="2" s="1"/>
  <c r="Q79" i="2"/>
  <c r="R79" i="2" s="1"/>
  <c r="Q104" i="2"/>
  <c r="R104" i="2" s="1"/>
  <c r="R72" i="2"/>
  <c r="Q98" i="2"/>
  <c r="R98" i="2" s="1"/>
  <c r="Q102" i="2"/>
  <c r="R102" i="2" s="1"/>
  <c r="Q77" i="2"/>
  <c r="R77" i="2" s="1"/>
  <c r="Q109" i="2"/>
  <c r="R109" i="2" s="1"/>
  <c r="Q86" i="2"/>
  <c r="R86" i="2" s="1"/>
  <c r="Q95" i="2"/>
  <c r="R95" i="2" s="1"/>
  <c r="Q94" i="2"/>
  <c r="R94" i="2" s="1"/>
  <c r="K94" i="2"/>
  <c r="Q73" i="2"/>
  <c r="R73" i="2" s="1"/>
  <c r="K73" i="2"/>
  <c r="R80" i="2"/>
  <c r="K80" i="2"/>
  <c r="Q71" i="2"/>
  <c r="R71" i="2" s="1"/>
  <c r="K71" i="2"/>
  <c r="Q99" i="2"/>
  <c r="R99" i="2" s="1"/>
  <c r="K99" i="2"/>
  <c r="Q97" i="2"/>
  <c r="R97" i="2" s="1"/>
  <c r="K97" i="2"/>
  <c r="Q85" i="2"/>
  <c r="R85" i="2" s="1"/>
  <c r="K85" i="2"/>
  <c r="R64" i="2"/>
  <c r="K64" i="2"/>
  <c r="Q62" i="2"/>
  <c r="R62" i="2" s="1"/>
  <c r="K62" i="2"/>
  <c r="Q60" i="2"/>
  <c r="R60" i="2" s="1"/>
  <c r="K60" i="2"/>
  <c r="Q81" i="2"/>
  <c r="R81" i="2" s="1"/>
  <c r="K81" i="2"/>
  <c r="Q84" i="2"/>
  <c r="R84" i="2" s="1"/>
  <c r="K84" i="2"/>
  <c r="R69" i="2"/>
  <c r="K69" i="2"/>
  <c r="Q88" i="2"/>
  <c r="R88" i="2" s="1"/>
  <c r="K88" i="2"/>
  <c r="Q67" i="2"/>
  <c r="R67" i="2" s="1"/>
  <c r="K67" i="2"/>
  <c r="Q106" i="2"/>
  <c r="R106" i="2" s="1"/>
  <c r="K106" i="2"/>
  <c r="Q66" i="2"/>
  <c r="R66" i="2" s="1"/>
  <c r="K66" i="2"/>
  <c r="Q70" i="2"/>
  <c r="R70" i="2" s="1"/>
  <c r="K70" i="2"/>
  <c r="Q32" i="2"/>
  <c r="R32" i="2" s="1"/>
  <c r="K32" i="2"/>
  <c r="Q78" i="2"/>
  <c r="R78" i="2" s="1"/>
  <c r="K78" i="2"/>
  <c r="Q48" i="2"/>
  <c r="R48" i="2" s="1"/>
  <c r="K48" i="2"/>
  <c r="Q63" i="2"/>
  <c r="R63" i="2" s="1"/>
  <c r="K63" i="2"/>
  <c r="Q43" i="2"/>
  <c r="R43" i="2" s="1"/>
  <c r="K43" i="2"/>
  <c r="Q46" i="2"/>
  <c r="R46" i="2" s="1"/>
  <c r="K46" i="2"/>
  <c r="Q68" i="2"/>
  <c r="R68" i="2" s="1"/>
  <c r="K68" i="2"/>
  <c r="Q41" i="2"/>
  <c r="R41" i="2" s="1"/>
  <c r="K41" i="2"/>
  <c r="Q30" i="2"/>
  <c r="R30" i="2" s="1"/>
  <c r="K30" i="2"/>
  <c r="Q52" i="2"/>
  <c r="R52" i="2" s="1"/>
  <c r="Q55" i="2"/>
  <c r="R55" i="2" s="1"/>
  <c r="Q76" i="2"/>
  <c r="R76" i="2" s="1"/>
  <c r="Q37" i="2"/>
  <c r="R37" i="2" s="1"/>
  <c r="Q47" i="2"/>
  <c r="R47" i="2" s="1"/>
  <c r="Q57" i="2"/>
  <c r="R57" i="2" s="1"/>
  <c r="Q56" i="2"/>
  <c r="R56" i="2" s="1"/>
  <c r="Q40" i="2"/>
  <c r="R40" i="2" s="1"/>
  <c r="Q39" i="2"/>
  <c r="R39" i="2" s="1"/>
  <c r="Q53" i="2"/>
  <c r="R53" i="2" s="1"/>
  <c r="R75" i="2"/>
  <c r="Q58" i="2"/>
  <c r="R58" i="2" s="1"/>
  <c r="Q35" i="2"/>
  <c r="R35" i="2" s="1"/>
  <c r="R59" i="2"/>
  <c r="Q36" i="2"/>
  <c r="R36" i="2" s="1"/>
  <c r="Q23" i="2"/>
  <c r="R23" i="2" s="1"/>
  <c r="K23" i="2"/>
  <c r="AG54" i="2"/>
  <c r="AF54" i="2"/>
  <c r="Q54" i="2"/>
  <c r="R54" i="2" s="1"/>
  <c r="K54" i="2"/>
  <c r="AG44" i="2"/>
  <c r="AF44" i="2"/>
  <c r="AE44" i="2"/>
  <c r="Q44" i="2"/>
  <c r="R44" i="2" s="1"/>
  <c r="K44" i="2"/>
  <c r="AG49" i="2"/>
  <c r="AF49" i="2"/>
  <c r="Q49" i="2"/>
  <c r="R49" i="2" s="1"/>
  <c r="K49" i="2"/>
  <c r="AG51" i="2"/>
  <c r="AF51" i="2"/>
  <c r="AE51" i="2"/>
  <c r="Q51" i="2"/>
  <c r="R51" i="2" s="1"/>
  <c r="K51" i="2"/>
  <c r="AG50" i="2"/>
  <c r="AF50" i="2"/>
  <c r="AE50" i="2"/>
  <c r="Q50" i="2"/>
  <c r="R50" i="2" s="1"/>
  <c r="K50" i="2"/>
  <c r="AG38" i="2"/>
  <c r="AF38" i="2"/>
  <c r="Q38" i="2"/>
  <c r="R38" i="2" s="1"/>
  <c r="K38" i="2"/>
  <c r="AG20" i="2"/>
  <c r="AF20" i="2"/>
  <c r="Q20" i="2"/>
  <c r="R20" i="2" s="1"/>
  <c r="K20" i="2"/>
  <c r="AG29" i="2"/>
  <c r="AF29" i="2"/>
  <c r="Q29" i="2"/>
  <c r="R29" i="2" s="1"/>
  <c r="K29" i="2"/>
  <c r="AG28" i="2"/>
  <c r="AF28" i="2"/>
  <c r="Q28" i="2"/>
  <c r="R28" i="2" s="1"/>
  <c r="K28" i="2"/>
  <c r="AG22" i="2"/>
  <c r="AF22" i="2"/>
  <c r="Q22" i="2"/>
  <c r="R22" i="2" s="1"/>
  <c r="K22" i="2"/>
  <c r="AG31" i="2"/>
  <c r="AF31" i="2"/>
  <c r="AE31" i="2"/>
  <c r="Q31" i="2"/>
  <c r="R31" i="2" s="1"/>
  <c r="K31" i="2"/>
  <c r="AG26" i="2"/>
  <c r="AF26" i="2"/>
  <c r="Q26" i="2"/>
  <c r="R26" i="2" s="1"/>
  <c r="K26" i="2"/>
  <c r="AG25" i="2"/>
  <c r="AF25" i="2"/>
  <c r="Q25" i="2"/>
  <c r="R25" i="2" s="1"/>
  <c r="K25" i="2"/>
  <c r="AG33" i="2"/>
  <c r="AF33" i="2"/>
  <c r="R33" i="2"/>
  <c r="K33" i="2"/>
  <c r="AG27" i="2"/>
  <c r="AF27" i="2"/>
  <c r="Q27" i="2"/>
  <c r="R27" i="2" s="1"/>
  <c r="K27" i="2"/>
  <c r="AG42" i="2"/>
  <c r="AF42" i="2"/>
  <c r="R42" i="2"/>
  <c r="K42" i="2"/>
  <c r="AG18" i="2"/>
  <c r="AF18" i="2"/>
  <c r="Q18" i="2"/>
  <c r="R18" i="2" s="1"/>
  <c r="K18" i="2"/>
  <c r="AG24" i="2"/>
  <c r="AF24" i="2"/>
  <c r="R24" i="2"/>
  <c r="K24" i="2"/>
  <c r="AG45" i="2"/>
  <c r="AF45" i="2"/>
  <c r="AE45" i="2"/>
  <c r="R45" i="2"/>
  <c r="K45" i="2"/>
  <c r="AG21" i="2"/>
  <c r="AF21" i="2"/>
  <c r="AE21" i="2"/>
  <c r="Q21" i="2"/>
  <c r="R21" i="2" s="1"/>
  <c r="K21" i="2"/>
  <c r="AG34" i="2"/>
  <c r="AF34" i="2"/>
  <c r="K34" i="2"/>
  <c r="AG9" i="2"/>
  <c r="AF9" i="2"/>
  <c r="Q9" i="2"/>
  <c r="R9" i="2" s="1"/>
  <c r="K9" i="2"/>
  <c r="AG12" i="2"/>
  <c r="AF12" i="2"/>
  <c r="Q12" i="2"/>
  <c r="R12" i="2" s="1"/>
  <c r="K12" i="2"/>
  <c r="AG14" i="2"/>
  <c r="AF14" i="2"/>
  <c r="Q14" i="2"/>
  <c r="R14" i="2" s="1"/>
  <c r="K14" i="2"/>
  <c r="AG13" i="2"/>
  <c r="O13" i="2" s="1"/>
  <c r="AF13" i="2"/>
  <c r="N13" i="2" s="1"/>
  <c r="Q13" i="2"/>
  <c r="R13" i="2" s="1"/>
  <c r="K13" i="2"/>
  <c r="AG17" i="2"/>
  <c r="O17" i="2" s="1"/>
  <c r="AF17" i="2"/>
  <c r="N17" i="2" s="1"/>
  <c r="Q17" i="2"/>
  <c r="R17" i="2" s="1"/>
  <c r="K17" i="2"/>
  <c r="AG19" i="2"/>
  <c r="O19" i="2" s="1"/>
  <c r="AF19" i="2"/>
  <c r="N19" i="2" s="1"/>
  <c r="Q19" i="2"/>
  <c r="R19" i="2" s="1"/>
  <c r="K19" i="2"/>
  <c r="AG15" i="2"/>
  <c r="O15" i="2" s="1"/>
  <c r="AF15" i="2"/>
  <c r="N15" i="2" s="1"/>
  <c r="Q15" i="2"/>
  <c r="R15" i="2" s="1"/>
  <c r="K15" i="2"/>
  <c r="AG16" i="2"/>
  <c r="O16" i="2" s="1"/>
  <c r="AF16" i="2"/>
  <c r="N16" i="2" s="1"/>
  <c r="Q16" i="2"/>
  <c r="R16" i="2" s="1"/>
  <c r="K16" i="2"/>
  <c r="AG10" i="2"/>
  <c r="O10" i="2" s="1"/>
  <c r="AF10" i="2"/>
  <c r="N10" i="2" s="1"/>
  <c r="Q10" i="2"/>
  <c r="R10" i="2" s="1"/>
  <c r="K10" i="2"/>
  <c r="AG7" i="2"/>
  <c r="O7" i="2" s="1"/>
  <c r="AF7" i="2"/>
  <c r="N7" i="2" s="1"/>
  <c r="Q7" i="2"/>
  <c r="R7" i="2" s="1"/>
  <c r="K7" i="2"/>
  <c r="AG6" i="2"/>
  <c r="O6" i="2" s="1"/>
  <c r="AF6" i="2"/>
  <c r="N6" i="2" s="1"/>
  <c r="Q6" i="2"/>
  <c r="R6" i="2" s="1"/>
  <c r="K6" i="2"/>
  <c r="AG11" i="2"/>
  <c r="O11" i="2" s="1"/>
  <c r="AF11" i="2"/>
  <c r="N11" i="2" s="1"/>
  <c r="AE11" i="2"/>
  <c r="M11" i="2" s="1"/>
  <c r="Q11" i="2"/>
  <c r="R11" i="2" s="1"/>
  <c r="K11" i="2"/>
  <c r="AG8" i="2"/>
  <c r="O8" i="2" s="1"/>
  <c r="AF8" i="2"/>
  <c r="N8" i="2" s="1"/>
  <c r="Q8" i="2"/>
  <c r="R8" i="2" s="1"/>
  <c r="K8" i="2"/>
  <c r="AF5" i="2"/>
  <c r="N5" i="2" s="1"/>
  <c r="Q5" i="2"/>
  <c r="R5" i="2" s="1"/>
  <c r="K5" i="2"/>
  <c r="B31" i="1"/>
  <c r="B27" i="1"/>
  <c r="B26" i="1"/>
  <c r="C21" i="1"/>
  <c r="B21" i="1"/>
  <c r="C20" i="1"/>
  <c r="B20" i="1"/>
  <c r="C19" i="1"/>
  <c r="B19" i="1"/>
  <c r="C18" i="1"/>
  <c r="B18" i="1"/>
  <c r="C17" i="1"/>
  <c r="B17" i="1"/>
  <c r="W21" i="2" l="1"/>
  <c r="W51" i="2"/>
  <c r="R200" i="2"/>
  <c r="K199" i="2"/>
  <c r="K189" i="2"/>
  <c r="K197" i="2"/>
  <c r="K175" i="2"/>
  <c r="K196" i="2"/>
  <c r="W50" i="2"/>
  <c r="W44" i="2"/>
  <c r="P11" i="2"/>
  <c r="W31" i="2"/>
  <c r="W45" i="2"/>
  <c r="W11" i="2"/>
  <c r="K186" i="2"/>
  <c r="K185" i="2"/>
  <c r="K176" i="2"/>
  <c r="K177" i="2"/>
  <c r="K183" i="2"/>
  <c r="K171" i="2"/>
  <c r="K169" i="2"/>
  <c r="K163" i="2"/>
  <c r="K39" i="2"/>
  <c r="K160" i="2"/>
  <c r="K167" i="2"/>
  <c r="K124" i="2"/>
  <c r="K119" i="2"/>
  <c r="K108" i="2"/>
  <c r="K107" i="2"/>
  <c r="K77" i="2"/>
  <c r="K87" i="2"/>
  <c r="K118" i="2"/>
  <c r="K129" i="2"/>
  <c r="K116" i="2"/>
  <c r="K83" i="2"/>
  <c r="K65" i="2"/>
  <c r="K121" i="2"/>
  <c r="K180" i="2"/>
  <c r="K111" i="2"/>
  <c r="K120" i="2"/>
  <c r="K110" i="2"/>
  <c r="K90" i="2"/>
  <c r="K93" i="2"/>
  <c r="K79" i="2"/>
  <c r="K104" i="2"/>
  <c r="K72" i="2"/>
  <c r="K98" i="2"/>
  <c r="K102" i="2"/>
  <c r="K101" i="2"/>
  <c r="K132" i="2"/>
  <c r="K91" i="2"/>
  <c r="K36" i="2"/>
  <c r="K59" i="2"/>
  <c r="K35" i="2"/>
  <c r="K58" i="2"/>
  <c r="K75" i="2"/>
  <c r="K53" i="2"/>
  <c r="K159" i="2"/>
  <c r="K40" i="2"/>
  <c r="K56" i="2"/>
  <c r="K57" i="2"/>
  <c r="K47" i="2"/>
  <c r="K37" i="2"/>
  <c r="K76" i="2"/>
  <c r="K55" i="2"/>
  <c r="K52" i="2"/>
  <c r="K95" i="2"/>
  <c r="K86" i="2"/>
  <c r="K109" i="2"/>
  <c r="K126" i="2"/>
  <c r="K100" i="2"/>
  <c r="K96" i="2"/>
  <c r="K74" i="2"/>
  <c r="K194" i="2"/>
  <c r="K193" i="2"/>
  <c r="K195" i="2"/>
  <c r="K181" i="2"/>
  <c r="K188" i="2"/>
  <c r="K182" i="2"/>
  <c r="K172" i="2"/>
  <c r="K179" i="2"/>
  <c r="K192" i="2"/>
  <c r="B24" i="10"/>
  <c r="E24" i="10" s="1"/>
  <c r="P405" i="9" s="1"/>
  <c r="B23" i="10"/>
  <c r="E23" i="10" s="1"/>
  <c r="P488" i="9" s="1"/>
  <c r="B22" i="10"/>
  <c r="E22" i="10" s="1"/>
  <c r="B21" i="10"/>
  <c r="E21" i="10" s="1"/>
  <c r="B20" i="10"/>
  <c r="E20" i="10" s="1"/>
  <c r="B19" i="10"/>
  <c r="E19" i="10" s="1"/>
  <c r="B18" i="10"/>
  <c r="E18" i="10" s="1"/>
  <c r="B17" i="10"/>
  <c r="E17" i="10" s="1"/>
  <c r="B15" i="10"/>
  <c r="E15" i="10" s="1"/>
  <c r="B14" i="10"/>
  <c r="E14" i="10" s="1"/>
  <c r="B13" i="10"/>
  <c r="E13" i="10" s="1"/>
  <c r="B12" i="10"/>
  <c r="E12" i="10" s="1"/>
  <c r="B11" i="10"/>
  <c r="E11" i="10" s="1"/>
  <c r="P419" i="9" s="1"/>
  <c r="B7" i="10"/>
  <c r="B16" i="10"/>
  <c r="E16" i="10" s="1"/>
  <c r="V544" i="9"/>
  <c r="L199" i="8" s="1"/>
  <c r="H122" i="2" s="1"/>
  <c r="N544" i="9"/>
  <c r="O544" i="9" s="1"/>
  <c r="V543" i="9"/>
  <c r="L198" i="8" s="1"/>
  <c r="H113" i="2" s="1"/>
  <c r="N543" i="9"/>
  <c r="O543" i="9" s="1"/>
  <c r="V542" i="9"/>
  <c r="N542" i="9"/>
  <c r="O542" i="9"/>
  <c r="V541" i="9"/>
  <c r="N541" i="9"/>
  <c r="O541" i="9" s="1"/>
  <c r="V540" i="9"/>
  <c r="N540" i="9"/>
  <c r="O540" i="9" s="1"/>
  <c r="V539" i="9"/>
  <c r="N539" i="9"/>
  <c r="O539" i="9" s="1"/>
  <c r="V538" i="9"/>
  <c r="N538" i="9"/>
  <c r="O538" i="9" s="1"/>
  <c r="N537" i="9"/>
  <c r="O537" i="9"/>
  <c r="V537" i="9"/>
  <c r="L197" i="8" s="1"/>
  <c r="H101" i="2" s="1"/>
  <c r="N536" i="9"/>
  <c r="O536" i="9"/>
  <c r="V536" i="9"/>
  <c r="N535" i="9"/>
  <c r="O535" i="9" s="1"/>
  <c r="V535" i="9"/>
  <c r="L196" i="8" s="1"/>
  <c r="H147" i="2" s="1"/>
  <c r="V534" i="9"/>
  <c r="N534" i="9"/>
  <c r="O534" i="9" s="1"/>
  <c r="N533" i="9"/>
  <c r="O533" i="9" s="1"/>
  <c r="V533" i="9"/>
  <c r="V532" i="9"/>
  <c r="L195" i="8" s="1"/>
  <c r="H54" i="2" s="1"/>
  <c r="N532" i="9"/>
  <c r="O532" i="9" s="1"/>
  <c r="V531" i="9"/>
  <c r="N531" i="9"/>
  <c r="O531" i="9" s="1"/>
  <c r="N530" i="9"/>
  <c r="V530" i="9"/>
  <c r="L194" i="8" s="1"/>
  <c r="H76" i="2" s="1"/>
  <c r="O530" i="9"/>
  <c r="V529" i="9"/>
  <c r="N529" i="9"/>
  <c r="O529" i="9" s="1"/>
  <c r="N528" i="9"/>
  <c r="V528" i="9"/>
  <c r="L193" i="8" s="1"/>
  <c r="H34" i="2" s="1"/>
  <c r="O528" i="9"/>
  <c r="N527" i="9"/>
  <c r="O527" i="9"/>
  <c r="V527" i="9"/>
  <c r="V526" i="9"/>
  <c r="N526" i="9"/>
  <c r="O526" i="9" s="1"/>
  <c r="V525" i="9"/>
  <c r="L192" i="8" s="1"/>
  <c r="H197" i="2" s="1"/>
  <c r="N525" i="9"/>
  <c r="O525" i="9" s="1"/>
  <c r="V524" i="9"/>
  <c r="N524" i="9"/>
  <c r="O524" i="9" s="1"/>
  <c r="N523" i="9"/>
  <c r="O523" i="9"/>
  <c r="V523" i="9"/>
  <c r="L191" i="8" s="1"/>
  <c r="H142" i="2" s="1"/>
  <c r="V522" i="9"/>
  <c r="N522" i="9"/>
  <c r="O522" i="9" s="1"/>
  <c r="V521" i="9"/>
  <c r="L190" i="8" s="1"/>
  <c r="H88" i="2" s="1"/>
  <c r="N521" i="9"/>
  <c r="O521" i="9" s="1"/>
  <c r="V520" i="9"/>
  <c r="L189" i="8" s="1"/>
  <c r="H129" i="2" s="1"/>
  <c r="N520" i="9"/>
  <c r="O520" i="9" s="1"/>
  <c r="V519" i="9"/>
  <c r="N519" i="9"/>
  <c r="O519" i="9" s="1"/>
  <c r="V518" i="9"/>
  <c r="N518" i="9"/>
  <c r="O518" i="9" s="1"/>
  <c r="V517" i="9"/>
  <c r="L188" i="8" s="1"/>
  <c r="H51" i="2" s="1"/>
  <c r="N517" i="9"/>
  <c r="O517" i="9" s="1"/>
  <c r="V516" i="9"/>
  <c r="N516" i="9"/>
  <c r="O516" i="9" s="1"/>
  <c r="V515" i="9"/>
  <c r="N515" i="9"/>
  <c r="O515" i="9"/>
  <c r="N514" i="9"/>
  <c r="O514" i="9"/>
  <c r="V514" i="9"/>
  <c r="L187" i="8" s="1"/>
  <c r="H50" i="2" s="1"/>
  <c r="V513" i="9"/>
  <c r="N513" i="9"/>
  <c r="O513" i="9" s="1"/>
  <c r="N512" i="9"/>
  <c r="O512" i="9" s="1"/>
  <c r="V512" i="9"/>
  <c r="L186" i="8" s="1"/>
  <c r="H150" i="2" s="1"/>
  <c r="N511" i="9"/>
  <c r="V511" i="9"/>
  <c r="L185" i="8" s="1"/>
  <c r="H195" i="2" s="1"/>
  <c r="O511" i="9"/>
  <c r="N510" i="9"/>
  <c r="O510" i="9"/>
  <c r="V510" i="9"/>
  <c r="L184" i="8" s="1"/>
  <c r="H78" i="2" s="1"/>
  <c r="N509" i="9"/>
  <c r="O509" i="9"/>
  <c r="V509" i="9"/>
  <c r="V508" i="9"/>
  <c r="L183" i="8" s="1"/>
  <c r="H84" i="2" s="1"/>
  <c r="N508" i="9"/>
  <c r="O508" i="9"/>
  <c r="V507" i="9"/>
  <c r="N507" i="9"/>
  <c r="O507" i="9"/>
  <c r="V506" i="9"/>
  <c r="N506" i="9"/>
  <c r="O506" i="9" s="1"/>
  <c r="V505" i="9"/>
  <c r="N505" i="9"/>
  <c r="O505" i="9" s="1"/>
  <c r="V504" i="9"/>
  <c r="L182" i="8" s="1"/>
  <c r="H198" i="2" s="1"/>
  <c r="N504" i="9"/>
  <c r="O504" i="9"/>
  <c r="N503" i="9"/>
  <c r="V503" i="9"/>
  <c r="O503" i="9"/>
  <c r="V502" i="9"/>
  <c r="L181" i="8" s="1"/>
  <c r="H58" i="2" s="1"/>
  <c r="N502" i="9"/>
  <c r="O502" i="9" s="1"/>
  <c r="V501" i="9"/>
  <c r="N501" i="9"/>
  <c r="O501" i="9" s="1"/>
  <c r="V500" i="9"/>
  <c r="L180" i="8" s="1"/>
  <c r="H31" i="2" s="1"/>
  <c r="N500" i="9"/>
  <c r="O500" i="9" s="1"/>
  <c r="N499" i="9"/>
  <c r="O499" i="9"/>
  <c r="V499" i="9"/>
  <c r="N498" i="9"/>
  <c r="O498" i="9"/>
  <c r="V498" i="9"/>
  <c r="L179" i="8" s="1"/>
  <c r="H185" i="2" s="1"/>
  <c r="N497" i="9"/>
  <c r="O497" i="9" s="1"/>
  <c r="V497" i="9"/>
  <c r="N496" i="9"/>
  <c r="O496" i="9" s="1"/>
  <c r="V496" i="9"/>
  <c r="N495" i="9"/>
  <c r="O495" i="9"/>
  <c r="V495" i="9"/>
  <c r="N494" i="9"/>
  <c r="O494" i="9"/>
  <c r="V494" i="9"/>
  <c r="L177" i="8" s="1"/>
  <c r="H168" i="2" s="1"/>
  <c r="N493" i="9"/>
  <c r="O493" i="9"/>
  <c r="V493" i="9"/>
  <c r="L176" i="8" s="1"/>
  <c r="H196" i="2" s="1"/>
  <c r="V492" i="9"/>
  <c r="N492" i="9"/>
  <c r="O492" i="9"/>
  <c r="N491" i="9"/>
  <c r="O491" i="9"/>
  <c r="V491" i="9"/>
  <c r="N490" i="9"/>
  <c r="O490" i="9"/>
  <c r="V490" i="9"/>
  <c r="L175" i="8" s="1"/>
  <c r="H111" i="2" s="1"/>
  <c r="N489" i="9"/>
  <c r="O489" i="9"/>
  <c r="V489" i="9"/>
  <c r="N488" i="9"/>
  <c r="O488" i="9"/>
  <c r="V488" i="9"/>
  <c r="L174" i="8" s="1"/>
  <c r="H49" i="2" s="1"/>
  <c r="V487" i="9"/>
  <c r="N487" i="9"/>
  <c r="O487" i="9"/>
  <c r="V486" i="9"/>
  <c r="L173" i="8" s="1"/>
  <c r="H152" i="2" s="1"/>
  <c r="N486" i="9"/>
  <c r="O486" i="9"/>
  <c r="V485" i="9"/>
  <c r="N485" i="9"/>
  <c r="O485" i="9"/>
  <c r="V484" i="9"/>
  <c r="L172" i="8" s="1"/>
  <c r="H94" i="2" s="1"/>
  <c r="N484" i="9"/>
  <c r="O484" i="9" s="1"/>
  <c r="N483" i="9"/>
  <c r="O483" i="9"/>
  <c r="V483" i="9"/>
  <c r="N482" i="9"/>
  <c r="O482" i="9" s="1"/>
  <c r="H199" i="8"/>
  <c r="H205" i="8" s="1"/>
  <c r="V482" i="9"/>
  <c r="L171" i="8" s="1"/>
  <c r="H70" i="2" s="1"/>
  <c r="N481" i="9"/>
  <c r="O481" i="9" s="1"/>
  <c r="N480" i="9"/>
  <c r="O480" i="9" s="1"/>
  <c r="V480" i="9"/>
  <c r="L170" i="8" s="1"/>
  <c r="H127" i="2" s="1"/>
  <c r="V479" i="9"/>
  <c r="N479" i="9"/>
  <c r="O479" i="9" s="1"/>
  <c r="V478" i="9"/>
  <c r="N478" i="9"/>
  <c r="O478" i="9" s="1"/>
  <c r="V477" i="9"/>
  <c r="L169" i="8" s="1"/>
  <c r="H154" i="2" s="1"/>
  <c r="N477" i="9"/>
  <c r="O477" i="9" s="1"/>
  <c r="V476" i="9"/>
  <c r="N476" i="9"/>
  <c r="O476" i="9" s="1"/>
  <c r="N475" i="9"/>
  <c r="V475" i="9"/>
  <c r="O475" i="9"/>
  <c r="N474" i="9"/>
  <c r="O474" i="9" s="1"/>
  <c r="V474" i="9"/>
  <c r="L168" i="8" s="1"/>
  <c r="H141" i="2" s="1"/>
  <c r="V473" i="9"/>
  <c r="N473" i="9"/>
  <c r="O473" i="9" s="1"/>
  <c r="N472" i="9"/>
  <c r="V472" i="9"/>
  <c r="L167" i="8" s="1"/>
  <c r="H121" i="2" s="1"/>
  <c r="O472" i="9"/>
  <c r="V471" i="9"/>
  <c r="N471" i="9"/>
  <c r="O471" i="9" s="1"/>
  <c r="N470" i="9"/>
  <c r="V470" i="9"/>
  <c r="L166" i="8" s="1"/>
  <c r="H110" i="2" s="1"/>
  <c r="O470" i="9"/>
  <c r="V469" i="9"/>
  <c r="N469" i="9"/>
  <c r="O469" i="9" s="1"/>
  <c r="V468" i="9"/>
  <c r="L165" i="8" s="1"/>
  <c r="H186" i="2" s="1"/>
  <c r="N468" i="9"/>
  <c r="O468" i="9" s="1"/>
  <c r="V467" i="9"/>
  <c r="N467" i="9"/>
  <c r="O467" i="9" s="1"/>
  <c r="V466" i="9"/>
  <c r="N466" i="9"/>
  <c r="O466" i="9"/>
  <c r="V465" i="9"/>
  <c r="L164" i="8" s="1"/>
  <c r="H106" i="2" s="1"/>
  <c r="N465" i="9"/>
  <c r="O465" i="9" s="1"/>
  <c r="V464" i="9"/>
  <c r="N464" i="9"/>
  <c r="O464" i="9" s="1"/>
  <c r="V463" i="9"/>
  <c r="L163" i="8" s="1"/>
  <c r="H187" i="2" s="1"/>
  <c r="N463" i="9"/>
  <c r="O463" i="9" s="1"/>
  <c r="V462" i="9"/>
  <c r="N462" i="9"/>
  <c r="O462" i="9" s="1"/>
  <c r="V461" i="9"/>
  <c r="L162" i="8" s="1"/>
  <c r="H95" i="2" s="1"/>
  <c r="N461" i="9"/>
  <c r="O461" i="9" s="1"/>
  <c r="V460" i="9"/>
  <c r="N460" i="9"/>
  <c r="O460" i="9" s="1"/>
  <c r="V459" i="9"/>
  <c r="L161" i="8" s="1"/>
  <c r="H124" i="2" s="1"/>
  <c r="N459" i="9"/>
  <c r="O459" i="9" s="1"/>
  <c r="V458" i="9"/>
  <c r="N458" i="9"/>
  <c r="O458" i="9" s="1"/>
  <c r="N457" i="9"/>
  <c r="V457" i="9"/>
  <c r="L160" i="8" s="1"/>
  <c r="H44" i="2" s="1"/>
  <c r="O457" i="9"/>
  <c r="V456" i="9"/>
  <c r="N456" i="9"/>
  <c r="O456" i="9" s="1"/>
  <c r="V455" i="9"/>
  <c r="L159" i="8" s="1"/>
  <c r="H99" i="2" s="1"/>
  <c r="N455" i="9"/>
  <c r="O455" i="9" s="1"/>
  <c r="V454" i="9"/>
  <c r="N454" i="9"/>
  <c r="O454" i="9" s="1"/>
  <c r="V453" i="9"/>
  <c r="L158" i="8" s="1"/>
  <c r="H162" i="2" s="1"/>
  <c r="N453" i="9"/>
  <c r="O453" i="9" s="1"/>
  <c r="V452" i="9"/>
  <c r="N452" i="9"/>
  <c r="O452" i="9" s="1"/>
  <c r="V451" i="9"/>
  <c r="L157" i="8" s="1"/>
  <c r="H97" i="2" s="1"/>
  <c r="N451" i="9"/>
  <c r="O451" i="9" s="1"/>
  <c r="V450" i="9"/>
  <c r="N450" i="9"/>
  <c r="O450" i="9" s="1"/>
  <c r="V449" i="9"/>
  <c r="N449" i="9"/>
  <c r="O449" i="9" s="1"/>
  <c r="V448" i="9"/>
  <c r="L156" i="8" s="1"/>
  <c r="H120" i="2" s="1"/>
  <c r="N448" i="9"/>
  <c r="O448" i="9" s="1"/>
  <c r="V447" i="9"/>
  <c r="N447" i="9"/>
  <c r="O447" i="9" s="1"/>
  <c r="V446" i="9"/>
  <c r="L155" i="8" s="1"/>
  <c r="H66" i="2" s="1"/>
  <c r="N446" i="9"/>
  <c r="O446" i="9" s="1"/>
  <c r="V445" i="9"/>
  <c r="N445" i="9"/>
  <c r="O445" i="9" s="1"/>
  <c r="V444" i="9"/>
  <c r="L154" i="8" s="1"/>
  <c r="H145" i="2" s="1"/>
  <c r="N444" i="9"/>
  <c r="O444" i="9" s="1"/>
  <c r="N443" i="9"/>
  <c r="V443" i="9"/>
  <c r="O443" i="9"/>
  <c r="V442" i="9"/>
  <c r="L153" i="8" s="1"/>
  <c r="H144" i="2" s="1"/>
  <c r="N442" i="9"/>
  <c r="O442" i="9" s="1"/>
  <c r="N441" i="9"/>
  <c r="V441" i="9"/>
  <c r="O441" i="9"/>
  <c r="V440" i="9"/>
  <c r="N440" i="9"/>
  <c r="O440" i="9" s="1"/>
  <c r="N439" i="9"/>
  <c r="V439" i="9"/>
  <c r="L150" i="8" s="1"/>
  <c r="H149" i="2" s="1"/>
  <c r="O439" i="9"/>
  <c r="V438" i="9"/>
  <c r="N438" i="9"/>
  <c r="O438" i="9" s="1"/>
  <c r="V437" i="9"/>
  <c r="L149" i="8" s="1"/>
  <c r="H132" i="2" s="1"/>
  <c r="N437" i="9"/>
  <c r="O437" i="9" s="1"/>
  <c r="V436" i="9"/>
  <c r="L148" i="8" s="1"/>
  <c r="H143" i="2" s="1"/>
  <c r="N436" i="9"/>
  <c r="O436" i="9" s="1"/>
  <c r="V435" i="9"/>
  <c r="N435" i="9"/>
  <c r="O435" i="9"/>
  <c r="V434" i="9"/>
  <c r="L147" i="8" s="1"/>
  <c r="H123" i="2" s="1"/>
  <c r="N434" i="9"/>
  <c r="O434" i="9" s="1"/>
  <c r="V433" i="9"/>
  <c r="N433" i="9"/>
  <c r="O433" i="9" s="1"/>
  <c r="V432" i="9"/>
  <c r="N432" i="9"/>
  <c r="O432" i="9" s="1"/>
  <c r="V431" i="9"/>
  <c r="L146" i="8" s="1"/>
  <c r="H26" i="2" s="1"/>
  <c r="N431" i="9"/>
  <c r="O431" i="9" s="1"/>
  <c r="V430" i="9"/>
  <c r="L145" i="8" s="1"/>
  <c r="H169" i="2" s="1"/>
  <c r="N430" i="9"/>
  <c r="O430" i="9" s="1"/>
  <c r="V429" i="9"/>
  <c r="N429" i="9"/>
  <c r="O429" i="9" s="1"/>
  <c r="V428" i="9"/>
  <c r="L144" i="8" s="1"/>
  <c r="H153" i="2" s="1"/>
  <c r="N428" i="9"/>
  <c r="O428" i="9" s="1"/>
  <c r="V427" i="9"/>
  <c r="N427" i="9"/>
  <c r="O427" i="9" s="1"/>
  <c r="V426" i="9"/>
  <c r="L143" i="8" s="1"/>
  <c r="H59" i="2" s="1"/>
  <c r="N426" i="9"/>
  <c r="O426" i="9" s="1"/>
  <c r="V425" i="9"/>
  <c r="N425" i="9"/>
  <c r="O425" i="9" s="1"/>
  <c r="V424" i="9"/>
  <c r="L142" i="8" s="1"/>
  <c r="H25" i="2" s="1"/>
  <c r="O424" i="9"/>
  <c r="N424" i="9"/>
  <c r="V423" i="9"/>
  <c r="N423" i="9"/>
  <c r="O423" i="9" s="1"/>
  <c r="V422" i="9"/>
  <c r="L141" i="8" s="1"/>
  <c r="H160" i="2" s="1"/>
  <c r="N422" i="9"/>
  <c r="O422" i="9" s="1"/>
  <c r="V421" i="9"/>
  <c r="N421" i="9"/>
  <c r="O421" i="9" s="1"/>
  <c r="V420" i="9"/>
  <c r="L140" i="8" s="1"/>
  <c r="H159" i="2" s="1"/>
  <c r="N420" i="9"/>
  <c r="O420" i="9" s="1"/>
  <c r="V419" i="9"/>
  <c r="N419" i="9"/>
  <c r="O419" i="9" s="1"/>
  <c r="V418" i="9"/>
  <c r="L139" i="8" s="1"/>
  <c r="H164" i="2" s="1"/>
  <c r="N418" i="9"/>
  <c r="O418" i="9" s="1"/>
  <c r="V417" i="9"/>
  <c r="N417" i="9"/>
  <c r="O417" i="9" s="1"/>
  <c r="V416" i="9"/>
  <c r="L138" i="8" s="1"/>
  <c r="H130" i="2" s="1"/>
  <c r="N416" i="9"/>
  <c r="O416" i="9" s="1"/>
  <c r="V415" i="9"/>
  <c r="N415" i="9"/>
  <c r="O415" i="9" s="1"/>
  <c r="V414" i="9"/>
  <c r="L137" i="8" s="1"/>
  <c r="H29" i="2" s="1"/>
  <c r="N414" i="9"/>
  <c r="O414" i="9" s="1"/>
  <c r="V413" i="9"/>
  <c r="N413" i="9"/>
  <c r="O413" i="9" s="1"/>
  <c r="V412" i="9"/>
  <c r="L136" i="8" s="1"/>
  <c r="H178" i="2" s="1"/>
  <c r="N412" i="9"/>
  <c r="O412" i="9" s="1"/>
  <c r="N411" i="9"/>
  <c r="O411" i="9" s="1"/>
  <c r="V411" i="9"/>
  <c r="L135" i="8" s="1"/>
  <c r="H42" i="2" s="1"/>
  <c r="V410" i="9"/>
  <c r="N410" i="9"/>
  <c r="O410" i="9" s="1"/>
  <c r="N409" i="9"/>
  <c r="V409" i="9"/>
  <c r="L134" i="8" s="1"/>
  <c r="H104" i="2" s="1"/>
  <c r="O409" i="9"/>
  <c r="V408" i="9"/>
  <c r="N408" i="9"/>
  <c r="O408" i="9" s="1"/>
  <c r="V407" i="9"/>
  <c r="L133" i="8" s="1"/>
  <c r="H63" i="2" s="1"/>
  <c r="N407" i="9"/>
  <c r="O407" i="9" s="1"/>
  <c r="V406" i="9"/>
  <c r="N406" i="9"/>
  <c r="O406" i="9" s="1"/>
  <c r="V405" i="9"/>
  <c r="L132" i="8" s="1"/>
  <c r="H170" i="2" s="1"/>
  <c r="N405" i="9"/>
  <c r="O405" i="9" s="1"/>
  <c r="V404" i="9"/>
  <c r="N404" i="9"/>
  <c r="O404" i="9" s="1"/>
  <c r="V403" i="9"/>
  <c r="N403" i="9"/>
  <c r="O403" i="9" s="1"/>
  <c r="V402" i="9"/>
  <c r="L131" i="8" s="1"/>
  <c r="H126" i="2" s="1"/>
  <c r="N402" i="9"/>
  <c r="O402" i="9" s="1"/>
  <c r="V401" i="9"/>
  <c r="N401" i="9"/>
  <c r="O401" i="9" s="1"/>
  <c r="V400" i="9"/>
  <c r="L130" i="8" s="1"/>
  <c r="H73" i="2" s="1"/>
  <c r="N400" i="9"/>
  <c r="O400" i="9" s="1"/>
  <c r="V399" i="9"/>
  <c r="N399" i="9"/>
  <c r="O399" i="9" s="1"/>
  <c r="V398" i="9"/>
  <c r="L129" i="8" s="1"/>
  <c r="H71" i="2" s="1"/>
  <c r="N398" i="9"/>
  <c r="O398" i="9" s="1"/>
  <c r="V397" i="9"/>
  <c r="N397" i="9"/>
  <c r="O397" i="9" s="1"/>
  <c r="V396" i="9"/>
  <c r="L128" i="8" s="1"/>
  <c r="H48" i="2" s="1"/>
  <c r="N396" i="9"/>
  <c r="O396" i="9" s="1"/>
  <c r="V395" i="9"/>
  <c r="N395" i="9"/>
  <c r="O395" i="9" s="1"/>
  <c r="V394" i="9"/>
  <c r="L127" i="8" s="1"/>
  <c r="H156" i="2" s="1"/>
  <c r="N394" i="9"/>
  <c r="O394" i="9" s="1"/>
  <c r="V393" i="9"/>
  <c r="L126" i="8" s="1"/>
  <c r="H194" i="2" s="1"/>
  <c r="N393" i="9"/>
  <c r="O393" i="9" s="1"/>
  <c r="V392" i="9"/>
  <c r="N392" i="9"/>
  <c r="O392" i="9" s="1"/>
  <c r="V391" i="9"/>
  <c r="L125" i="8" s="1"/>
  <c r="H148" i="2" s="1"/>
  <c r="N391" i="9"/>
  <c r="O391" i="9" s="1"/>
  <c r="V390" i="9"/>
  <c r="N390" i="9"/>
  <c r="O390" i="9" s="1"/>
  <c r="V389" i="9"/>
  <c r="N389" i="9"/>
  <c r="O389" i="9" s="1"/>
  <c r="V388" i="9"/>
  <c r="N388" i="9"/>
  <c r="O388" i="9" s="1"/>
  <c r="V387" i="9"/>
  <c r="L124" i="8" s="1"/>
  <c r="H166" i="2" s="1"/>
  <c r="N387" i="9"/>
  <c r="O387" i="9" s="1"/>
  <c r="V386" i="9"/>
  <c r="N386" i="9"/>
  <c r="O386" i="9" s="1"/>
  <c r="V385" i="9"/>
  <c r="L123" i="8" s="1"/>
  <c r="H16" i="2" s="1"/>
  <c r="N385" i="9"/>
  <c r="O385" i="9" s="1"/>
  <c r="V384" i="9"/>
  <c r="N384" i="9"/>
  <c r="O384" i="9" s="1"/>
  <c r="V383" i="9"/>
  <c r="N383" i="9"/>
  <c r="O383" i="9" s="1"/>
  <c r="V382" i="9"/>
  <c r="L122" i="8" s="1"/>
  <c r="H177" i="2" s="1"/>
  <c r="N382" i="9"/>
  <c r="O382" i="9" s="1"/>
  <c r="V381" i="9"/>
  <c r="L121" i="8" s="1"/>
  <c r="H45" i="2" s="1"/>
  <c r="N381" i="9"/>
  <c r="O381" i="9" s="1"/>
  <c r="V380" i="9"/>
  <c r="N380" i="9"/>
  <c r="O380" i="9" s="1"/>
  <c r="V379" i="9"/>
  <c r="L120" i="8" s="1"/>
  <c r="H174" i="2" s="1"/>
  <c r="N379" i="9"/>
  <c r="O379" i="9" s="1"/>
  <c r="N378" i="9"/>
  <c r="V378" i="9"/>
  <c r="O378" i="9"/>
  <c r="V377" i="9"/>
  <c r="L119" i="8" s="1"/>
  <c r="H173" i="2" s="1"/>
  <c r="N377" i="9"/>
  <c r="O377" i="9" s="1"/>
  <c r="V376" i="9"/>
  <c r="N376" i="9"/>
  <c r="O376" i="9" s="1"/>
  <c r="V375" i="9"/>
  <c r="L118" i="8" s="1"/>
  <c r="H133" i="2" s="1"/>
  <c r="N375" i="9"/>
  <c r="O375" i="9" s="1"/>
  <c r="V374" i="9"/>
  <c r="L117" i="8" s="1"/>
  <c r="H112" i="2" s="1"/>
  <c r="N374" i="9"/>
  <c r="O374" i="9" s="1"/>
  <c r="N373" i="9"/>
  <c r="V373" i="9"/>
  <c r="O373" i="9"/>
  <c r="V372" i="9"/>
  <c r="L116" i="8" s="1"/>
  <c r="H67" i="2" s="1"/>
  <c r="N372" i="9"/>
  <c r="O372" i="9" s="1"/>
  <c r="V371" i="9"/>
  <c r="N371" i="9"/>
  <c r="O371" i="9" s="1"/>
  <c r="V370" i="9"/>
  <c r="L115" i="8" s="1"/>
  <c r="H32" i="2" s="1"/>
  <c r="N370" i="9"/>
  <c r="O370" i="9" s="1"/>
  <c r="V369" i="9"/>
  <c r="L114" i="8" s="1"/>
  <c r="H163" i="2" s="1"/>
  <c r="N369" i="9"/>
  <c r="O369" i="9" s="1"/>
  <c r="V368" i="9"/>
  <c r="N368" i="9"/>
  <c r="O368" i="9" s="1"/>
  <c r="V367" i="9"/>
  <c r="L113" i="8" s="1"/>
  <c r="H89" i="2" s="1"/>
  <c r="N367" i="9"/>
  <c r="O367" i="9" s="1"/>
  <c r="V366" i="9"/>
  <c r="N366" i="9"/>
  <c r="O366" i="9" s="1"/>
  <c r="V365" i="9"/>
  <c r="L112" i="8" s="1"/>
  <c r="H190" i="2" s="1"/>
  <c r="N365" i="9"/>
  <c r="O365" i="9" s="1"/>
  <c r="V364" i="9"/>
  <c r="N364" i="9"/>
  <c r="O364" i="9" s="1"/>
  <c r="V363" i="9"/>
  <c r="N363" i="9"/>
  <c r="O363" i="9" s="1"/>
  <c r="V362" i="9"/>
  <c r="L111" i="8" s="1"/>
  <c r="H11" i="2" s="1"/>
  <c r="N362" i="9"/>
  <c r="O362" i="9" s="1"/>
  <c r="N361" i="9"/>
  <c r="V361" i="9"/>
  <c r="O361" i="9"/>
  <c r="V360" i="9"/>
  <c r="N360" i="9"/>
  <c r="O360" i="9" s="1"/>
  <c r="V359" i="9"/>
  <c r="L110" i="8" s="1"/>
  <c r="H8" i="2" s="1"/>
  <c r="N359" i="9"/>
  <c r="O359" i="9" s="1"/>
  <c r="V358" i="9"/>
  <c r="N358" i="9"/>
  <c r="O358" i="9" s="1"/>
  <c r="V357" i="9"/>
  <c r="L109" i="8" s="1"/>
  <c r="H102" i="2" s="1"/>
  <c r="N357" i="9"/>
  <c r="O357" i="9" s="1"/>
  <c r="V356" i="9"/>
  <c r="N356" i="9"/>
  <c r="O356" i="9" s="1"/>
  <c r="V355" i="9"/>
  <c r="L108" i="8" s="1"/>
  <c r="H69" i="2" s="1"/>
  <c r="N355" i="9"/>
  <c r="O355" i="9" s="1"/>
  <c r="N354" i="9"/>
  <c r="V354" i="9"/>
  <c r="O354" i="9"/>
  <c r="V353" i="9"/>
  <c r="L107" i="8" s="1"/>
  <c r="H87" i="2" s="1"/>
  <c r="N353" i="9"/>
  <c r="O353" i="9" s="1"/>
  <c r="V352" i="9"/>
  <c r="N352" i="9"/>
  <c r="O352" i="9" s="1"/>
  <c r="V351" i="9"/>
  <c r="N351" i="9"/>
  <c r="O351" i="9"/>
  <c r="V350" i="9"/>
  <c r="L105" i="8" s="1"/>
  <c r="H199" i="2" s="1"/>
  <c r="N350" i="9"/>
  <c r="O350" i="9" s="1"/>
  <c r="N349" i="9"/>
  <c r="O349" i="9"/>
  <c r="N348" i="9"/>
  <c r="O348" i="9"/>
  <c r="V348" i="9"/>
  <c r="L104" i="8" s="1"/>
  <c r="H193" i="2" s="1"/>
  <c r="N347" i="9"/>
  <c r="V347" i="9"/>
  <c r="O347" i="9"/>
  <c r="N346" i="9"/>
  <c r="O346" i="9"/>
  <c r="V346" i="9"/>
  <c r="L103" i="8" s="1"/>
  <c r="H77" i="2" s="1"/>
  <c r="N345" i="9"/>
  <c r="O345" i="9"/>
  <c r="V345" i="9"/>
  <c r="V344" i="9"/>
  <c r="L102" i="8" s="1"/>
  <c r="H125" i="2" s="1"/>
  <c r="N344" i="9"/>
  <c r="O344" i="9" s="1"/>
  <c r="V343" i="9"/>
  <c r="N343" i="9"/>
  <c r="O343" i="9" s="1"/>
  <c r="N342" i="9"/>
  <c r="V342" i="9"/>
  <c r="L101" i="8" s="1"/>
  <c r="H137" i="2" s="1"/>
  <c r="O342" i="9"/>
  <c r="N341" i="9"/>
  <c r="O341" i="9" s="1"/>
  <c r="V341" i="9"/>
  <c r="V340" i="9"/>
  <c r="N340" i="9"/>
  <c r="O340" i="9" s="1"/>
  <c r="N339" i="9"/>
  <c r="V339" i="9"/>
  <c r="O339" i="9"/>
  <c r="N338" i="9"/>
  <c r="O338" i="9"/>
  <c r="V338" i="9"/>
  <c r="L100" i="8" s="1"/>
  <c r="H179" i="2" s="1"/>
  <c r="N337" i="9"/>
  <c r="O337" i="9"/>
  <c r="V337" i="9"/>
  <c r="N336" i="9"/>
  <c r="O336" i="9"/>
  <c r="V336" i="9"/>
  <c r="N335" i="9"/>
  <c r="O335" i="9"/>
  <c r="V335" i="9"/>
  <c r="L99" i="8" s="1"/>
  <c r="H182" i="2" s="1"/>
  <c r="N334" i="9"/>
  <c r="O334" i="9"/>
  <c r="V334" i="9"/>
  <c r="N333" i="9"/>
  <c r="V333" i="9"/>
  <c r="O333" i="9"/>
  <c r="V332" i="9"/>
  <c r="L98" i="8" s="1"/>
  <c r="H38" i="2" s="1"/>
  <c r="N332" i="9"/>
  <c r="O332" i="9" s="1"/>
  <c r="N331" i="9"/>
  <c r="O331" i="9"/>
  <c r="V331" i="9"/>
  <c r="N330" i="9"/>
  <c r="O330" i="9"/>
  <c r="V330" i="9"/>
  <c r="L97" i="8" s="1"/>
  <c r="H53" i="2" s="1"/>
  <c r="V329" i="9"/>
  <c r="N329" i="9"/>
  <c r="O329" i="9"/>
  <c r="N328" i="9"/>
  <c r="O328" i="9"/>
  <c r="V328" i="9"/>
  <c r="L96" i="8" s="1"/>
  <c r="H116" i="2" s="1"/>
  <c r="V327" i="9"/>
  <c r="N327" i="9"/>
  <c r="O327" i="9" s="1"/>
  <c r="V326" i="9"/>
  <c r="L95" i="8" s="1"/>
  <c r="H181" i="2" s="1"/>
  <c r="N326" i="9"/>
  <c r="O326" i="9" s="1"/>
  <c r="V325" i="9"/>
  <c r="N325" i="9"/>
  <c r="O325" i="9" s="1"/>
  <c r="N324" i="9"/>
  <c r="O324" i="9" s="1"/>
  <c r="V324" i="9"/>
  <c r="L94" i="8" s="1"/>
  <c r="H180" i="2" s="1"/>
  <c r="V323" i="9"/>
  <c r="N323" i="9"/>
  <c r="O323" i="9" s="1"/>
  <c r="N322" i="9"/>
  <c r="V322" i="9"/>
  <c r="L93" i="8" s="1"/>
  <c r="H81" i="2" s="1"/>
  <c r="O322" i="9"/>
  <c r="V321" i="9"/>
  <c r="N321" i="9"/>
  <c r="O321" i="9"/>
  <c r="N320" i="9"/>
  <c r="O320" i="9"/>
  <c r="V320" i="9"/>
  <c r="L92" i="8" s="1"/>
  <c r="H117" i="2" s="1"/>
  <c r="V319" i="9"/>
  <c r="N319" i="9"/>
  <c r="O319" i="9" s="1"/>
  <c r="N318" i="9"/>
  <c r="O318" i="9"/>
  <c r="V318" i="9"/>
  <c r="N317" i="9"/>
  <c r="O317" i="9" s="1"/>
  <c r="V317" i="9"/>
  <c r="L91" i="8" s="1"/>
  <c r="H131" i="2" s="1"/>
  <c r="N316" i="9"/>
  <c r="O316" i="9"/>
  <c r="V316" i="9"/>
  <c r="V315" i="9"/>
  <c r="L90" i="8" s="1"/>
  <c r="H165" i="2" s="1"/>
  <c r="N315" i="9"/>
  <c r="O315" i="9" s="1"/>
  <c r="V314" i="9"/>
  <c r="N314" i="9"/>
  <c r="O314" i="9" s="1"/>
  <c r="V313" i="9"/>
  <c r="L89" i="8" s="1"/>
  <c r="H115" i="2" s="1"/>
  <c r="N313" i="9"/>
  <c r="O313" i="9" s="1"/>
  <c r="N312" i="9"/>
  <c r="V312" i="9"/>
  <c r="O312" i="9"/>
  <c r="N311" i="9"/>
  <c r="O311" i="9"/>
  <c r="V311" i="9"/>
  <c r="L88" i="8" s="1"/>
  <c r="H30" i="2" s="1"/>
  <c r="V310" i="9"/>
  <c r="L87" i="8" s="1"/>
  <c r="H80" i="2" s="1"/>
  <c r="N310" i="9"/>
  <c r="O310" i="9" s="1"/>
  <c r="N309" i="9"/>
  <c r="O309" i="9" s="1"/>
  <c r="V309" i="9"/>
  <c r="N308" i="9"/>
  <c r="O308" i="9"/>
  <c r="V308" i="9"/>
  <c r="L86" i="8" s="1"/>
  <c r="H37" i="2" s="1"/>
  <c r="N307" i="9"/>
  <c r="O307" i="9"/>
  <c r="V307" i="9"/>
  <c r="V306" i="9"/>
  <c r="L85" i="8" s="1"/>
  <c r="H139" i="2" s="1"/>
  <c r="N306" i="9"/>
  <c r="O306" i="9" s="1"/>
  <c r="V305" i="9"/>
  <c r="N305" i="9"/>
  <c r="O305" i="9" s="1"/>
  <c r="V304" i="9"/>
  <c r="L84" i="8" s="1"/>
  <c r="H109" i="2" s="1"/>
  <c r="N304" i="9"/>
  <c r="O304" i="9" s="1"/>
  <c r="V303" i="9"/>
  <c r="N303" i="9"/>
  <c r="O303" i="9"/>
  <c r="N302" i="9"/>
  <c r="O302" i="9"/>
  <c r="V302" i="9"/>
  <c r="N301" i="9"/>
  <c r="O301" i="9"/>
  <c r="V301" i="9"/>
  <c r="L83" i="8" s="1"/>
  <c r="H155" i="2" s="1"/>
  <c r="V300" i="9"/>
  <c r="N300" i="9"/>
  <c r="O300" i="9"/>
  <c r="N299" i="9"/>
  <c r="O299" i="9" s="1"/>
  <c r="V299" i="9"/>
  <c r="N298" i="9"/>
  <c r="O298" i="9"/>
  <c r="V298" i="9"/>
  <c r="L82" i="8" s="1"/>
  <c r="H21" i="2" s="1"/>
  <c r="N297" i="9"/>
  <c r="O297" i="9"/>
  <c r="V297" i="9"/>
  <c r="V296" i="9"/>
  <c r="L81" i="8" s="1"/>
  <c r="H140" i="2" s="1"/>
  <c r="N296" i="9"/>
  <c r="O296" i="9"/>
  <c r="V295" i="9"/>
  <c r="N295" i="9"/>
  <c r="O295" i="9" s="1"/>
  <c r="V294" i="9"/>
  <c r="N294" i="9"/>
  <c r="O294" i="9" s="1"/>
  <c r="N293" i="9"/>
  <c r="O293" i="9"/>
  <c r="V293" i="9"/>
  <c r="N292" i="9"/>
  <c r="O292" i="9" s="1"/>
  <c r="V292" i="9"/>
  <c r="L80" i="8" s="1"/>
  <c r="H192" i="2" s="1"/>
  <c r="V291" i="9"/>
  <c r="N291" i="9"/>
  <c r="O291" i="9" s="1"/>
  <c r="V290" i="9"/>
  <c r="N290" i="9"/>
  <c r="O290" i="9"/>
  <c r="V289" i="9"/>
  <c r="N289" i="9"/>
  <c r="O289" i="9" s="1"/>
  <c r="N288" i="9"/>
  <c r="O288" i="9" s="1"/>
  <c r="V288" i="9"/>
  <c r="L79" i="8" s="1"/>
  <c r="H158" i="2" s="1"/>
  <c r="V287" i="9"/>
  <c r="L78" i="8" s="1"/>
  <c r="H134" i="2" s="1"/>
  <c r="N287" i="9"/>
  <c r="O287" i="9" s="1"/>
  <c r="V286" i="9"/>
  <c r="L77" i="8" s="1"/>
  <c r="H136" i="2" s="1"/>
  <c r="N286" i="9"/>
  <c r="O286" i="9"/>
  <c r="N285" i="9"/>
  <c r="O285" i="9" s="1"/>
  <c r="V285" i="9"/>
  <c r="N284" i="9"/>
  <c r="O284" i="9"/>
  <c r="V284" i="9"/>
  <c r="L76" i="8" s="1"/>
  <c r="H188" i="2" s="1"/>
  <c r="N283" i="9"/>
  <c r="O283" i="9"/>
  <c r="V283" i="9"/>
  <c r="N282" i="9"/>
  <c r="O282" i="9"/>
  <c r="V282" i="9"/>
  <c r="N281" i="9"/>
  <c r="V281" i="9"/>
  <c r="O281" i="9"/>
  <c r="N280" i="9"/>
  <c r="O280" i="9"/>
  <c r="V280" i="9"/>
  <c r="N279" i="9"/>
  <c r="V279" i="9"/>
  <c r="L75" i="8" s="1"/>
  <c r="H183" i="2" s="1"/>
  <c r="O279" i="9"/>
  <c r="V278" i="9"/>
  <c r="N278" i="9"/>
  <c r="O278" i="9" s="1"/>
  <c r="V277" i="9"/>
  <c r="L74" i="8" s="1"/>
  <c r="H93" i="2" s="1"/>
  <c r="N277" i="9"/>
  <c r="O277" i="9" s="1"/>
  <c r="V276" i="9"/>
  <c r="L73" i="8" s="1"/>
  <c r="H151" i="2" s="1"/>
  <c r="N276" i="9"/>
  <c r="O276" i="9" s="1"/>
  <c r="V275" i="9"/>
  <c r="N275" i="9"/>
  <c r="O275" i="9" s="1"/>
  <c r="V274" i="9"/>
  <c r="N274" i="9"/>
  <c r="O274" i="9"/>
  <c r="V273" i="9"/>
  <c r="N273" i="9"/>
  <c r="O273" i="9" s="1"/>
  <c r="V272" i="9"/>
  <c r="L72" i="8" s="1"/>
  <c r="H98" i="2" s="1"/>
  <c r="N272" i="9"/>
  <c r="O272" i="9" s="1"/>
  <c r="V271" i="9"/>
  <c r="N271" i="9"/>
  <c r="O271" i="9" s="1"/>
  <c r="N270" i="9"/>
  <c r="V270" i="9"/>
  <c r="O270" i="9"/>
  <c r="N269" i="9"/>
  <c r="O269" i="9" s="1"/>
  <c r="V269" i="9"/>
  <c r="L71" i="8" s="1"/>
  <c r="H47" i="2" s="1"/>
  <c r="V268" i="9"/>
  <c r="N268" i="9"/>
  <c r="O268" i="9" s="1"/>
  <c r="N267" i="9"/>
  <c r="O267" i="9" s="1"/>
  <c r="V267" i="9"/>
  <c r="L70" i="8" s="1"/>
  <c r="H171" i="2" s="1"/>
  <c r="N266" i="9"/>
  <c r="O266" i="9"/>
  <c r="V266" i="9"/>
  <c r="N265" i="9"/>
  <c r="O265" i="9" s="1"/>
  <c r="V265" i="9"/>
  <c r="N264" i="9"/>
  <c r="V264" i="9"/>
  <c r="O264" i="9"/>
  <c r="N263" i="9"/>
  <c r="O263" i="9"/>
  <c r="V263" i="9"/>
  <c r="V262" i="9"/>
  <c r="N262" i="9"/>
  <c r="O262" i="9" s="1"/>
  <c r="N261" i="9"/>
  <c r="V261" i="9"/>
  <c r="L69" i="8" s="1"/>
  <c r="H57" i="2" s="1"/>
  <c r="O261" i="9"/>
  <c r="V260" i="9"/>
  <c r="N260" i="9"/>
  <c r="O260" i="9" s="1"/>
  <c r="V259" i="9"/>
  <c r="N259" i="9"/>
  <c r="O259" i="9"/>
  <c r="N258" i="9"/>
  <c r="O258" i="9"/>
  <c r="V258" i="9"/>
  <c r="V257" i="9"/>
  <c r="N257" i="9"/>
  <c r="O257" i="9" s="1"/>
  <c r="N256" i="9"/>
  <c r="O256" i="9"/>
  <c r="V256" i="9"/>
  <c r="N255" i="9"/>
  <c r="O255" i="9"/>
  <c r="V255" i="9"/>
  <c r="L68" i="8" s="1"/>
  <c r="H56" i="2" s="1"/>
  <c r="N254" i="9"/>
  <c r="O254" i="9"/>
  <c r="V254" i="9"/>
  <c r="V253" i="9"/>
  <c r="N253" i="9"/>
  <c r="O253" i="9" s="1"/>
  <c r="V252" i="9"/>
  <c r="L67" i="8" s="1"/>
  <c r="H96" i="2" s="1"/>
  <c r="N252" i="9"/>
  <c r="O252" i="9" s="1"/>
  <c r="V251" i="9"/>
  <c r="N251" i="9"/>
  <c r="O251" i="9" s="1"/>
  <c r="N250" i="9"/>
  <c r="V250" i="9"/>
  <c r="O250" i="9"/>
  <c r="N249" i="9"/>
  <c r="O249" i="9" s="1"/>
  <c r="V249" i="9"/>
  <c r="L66" i="8" s="1"/>
  <c r="H27" i="2" s="1"/>
  <c r="V248" i="9"/>
  <c r="N248" i="9"/>
  <c r="O248" i="9"/>
  <c r="V247" i="9"/>
  <c r="L65" i="8" s="1"/>
  <c r="H28" i="2" s="1"/>
  <c r="N247" i="9"/>
  <c r="O247" i="9" s="1"/>
  <c r="N246" i="9"/>
  <c r="V246" i="9"/>
  <c r="L64" i="8" s="1"/>
  <c r="H191" i="2" s="1"/>
  <c r="O246" i="9"/>
  <c r="V245" i="9"/>
  <c r="L63" i="8" s="1"/>
  <c r="N245" i="9"/>
  <c r="O245" i="9" s="1"/>
  <c r="V244" i="9"/>
  <c r="N244" i="9"/>
  <c r="O244" i="9" s="1"/>
  <c r="N243" i="9"/>
  <c r="O243" i="9"/>
  <c r="V243" i="9"/>
  <c r="N242" i="9"/>
  <c r="O242" i="9"/>
  <c r="V242" i="9"/>
  <c r="N241" i="9"/>
  <c r="O241" i="9"/>
  <c r="V241" i="9"/>
  <c r="N240" i="9"/>
  <c r="O240" i="9"/>
  <c r="V240" i="9"/>
  <c r="V239" i="9"/>
  <c r="N239" i="9"/>
  <c r="O239" i="9" s="1"/>
  <c r="V238" i="9"/>
  <c r="L62" i="8" s="1"/>
  <c r="H22" i="2" s="1"/>
  <c r="N238" i="9"/>
  <c r="O238" i="9" s="1"/>
  <c r="N237" i="9"/>
  <c r="V237" i="9"/>
  <c r="O237" i="9"/>
  <c r="V236" i="9"/>
  <c r="N236" i="9"/>
  <c r="O236" i="9" s="1"/>
  <c r="N235" i="9"/>
  <c r="V235" i="9"/>
  <c r="O235" i="9"/>
  <c r="V234" i="9"/>
  <c r="N234" i="9"/>
  <c r="O234" i="9" s="1"/>
  <c r="V233" i="9"/>
  <c r="N233" i="9"/>
  <c r="O233" i="9" s="1"/>
  <c r="V232" i="9"/>
  <c r="N232" i="9"/>
  <c r="O232" i="9" s="1"/>
  <c r="V231" i="9"/>
  <c r="N231" i="9"/>
  <c r="O231" i="9" s="1"/>
  <c r="V230" i="9"/>
  <c r="N230" i="9"/>
  <c r="O230" i="9" s="1"/>
  <c r="V229" i="9"/>
  <c r="N229" i="9"/>
  <c r="O229" i="9" s="1"/>
  <c r="N228" i="9"/>
  <c r="O228" i="9" s="1"/>
  <c r="V228" i="9"/>
  <c r="L61" i="8" s="1"/>
  <c r="H33" i="2" s="1"/>
  <c r="N227" i="9"/>
  <c r="V227" i="9"/>
  <c r="O227" i="9"/>
  <c r="V226" i="9"/>
  <c r="N226" i="9"/>
  <c r="O226" i="9" s="1"/>
  <c r="V225" i="9"/>
  <c r="L60" i="8" s="1"/>
  <c r="H90" i="2" s="1"/>
  <c r="N225" i="9"/>
  <c r="O225" i="9" s="1"/>
  <c r="N224" i="9"/>
  <c r="O224" i="9"/>
  <c r="V224" i="9"/>
  <c r="N223" i="9"/>
  <c r="O223" i="9"/>
  <c r="V223" i="9"/>
  <c r="L59" i="8" s="1"/>
  <c r="H138" i="2" s="1"/>
  <c r="N222" i="9"/>
  <c r="O222" i="9" s="1"/>
  <c r="V222" i="9"/>
  <c r="V221" i="9"/>
  <c r="N221" i="9"/>
  <c r="O221" i="9"/>
  <c r="V220" i="9"/>
  <c r="L58" i="8" s="1"/>
  <c r="H64" i="2" s="1"/>
  <c r="N220" i="9"/>
  <c r="O220" i="9"/>
  <c r="N219" i="9"/>
  <c r="O219" i="9"/>
  <c r="V219" i="9"/>
  <c r="N218" i="9"/>
  <c r="O218" i="9" s="1"/>
  <c r="V218" i="9"/>
  <c r="N217" i="9"/>
  <c r="O217" i="9"/>
  <c r="N216" i="9"/>
  <c r="O216" i="9"/>
  <c r="V216" i="9"/>
  <c r="L57" i="8" s="1"/>
  <c r="H135" i="2" s="1"/>
  <c r="N215" i="9"/>
  <c r="O215" i="9"/>
  <c r="V215" i="9"/>
  <c r="N214" i="9"/>
  <c r="O214" i="9" s="1"/>
  <c r="V214" i="9"/>
  <c r="N213" i="9"/>
  <c r="V213" i="9"/>
  <c r="O213" i="9"/>
  <c r="N212" i="9"/>
  <c r="O212" i="9"/>
  <c r="V212" i="9"/>
  <c r="V211" i="9"/>
  <c r="L56" i="8" s="1"/>
  <c r="H20" i="2" s="1"/>
  <c r="N211" i="9"/>
  <c r="O211" i="9" s="1"/>
  <c r="V210" i="9"/>
  <c r="N210" i="9"/>
  <c r="O210" i="9" s="1"/>
  <c r="V209" i="9"/>
  <c r="L55" i="8" s="1"/>
  <c r="H172" i="2" s="1"/>
  <c r="N209" i="9"/>
  <c r="O209" i="9" s="1"/>
  <c r="V208" i="9"/>
  <c r="N208" i="9"/>
  <c r="O208" i="9" s="1"/>
  <c r="V207" i="9"/>
  <c r="N207" i="9"/>
  <c r="O207" i="9" s="1"/>
  <c r="V206" i="9"/>
  <c r="L54" i="8" s="1"/>
  <c r="H85" i="2" s="1"/>
  <c r="N206" i="9"/>
  <c r="O206" i="9" s="1"/>
  <c r="V205" i="9"/>
  <c r="N205" i="9"/>
  <c r="O205" i="9" s="1"/>
  <c r="V204" i="9"/>
  <c r="N204" i="9"/>
  <c r="O204" i="9" s="1"/>
  <c r="V203" i="9"/>
  <c r="L53" i="8" s="1"/>
  <c r="H128" i="2" s="1"/>
  <c r="N203" i="9"/>
  <c r="O203" i="9" s="1"/>
  <c r="V202" i="9"/>
  <c r="N202" i="9"/>
  <c r="O202" i="9" s="1"/>
  <c r="N201" i="9"/>
  <c r="O201" i="9" s="1"/>
  <c r="V201" i="9"/>
  <c r="V200" i="9"/>
  <c r="N200" i="9"/>
  <c r="O200" i="9"/>
  <c r="V199" i="9"/>
  <c r="L52" i="8" s="1"/>
  <c r="H18" i="2" s="1"/>
  <c r="N199" i="9"/>
  <c r="O199" i="9" s="1"/>
  <c r="V198" i="9"/>
  <c r="N198" i="9"/>
  <c r="O198" i="9" s="1"/>
  <c r="N197" i="9"/>
  <c r="O197" i="9" s="1"/>
  <c r="V197" i="9"/>
  <c r="V196" i="9"/>
  <c r="N196" i="9"/>
  <c r="O196" i="9" s="1"/>
  <c r="V195" i="9"/>
  <c r="N195" i="9"/>
  <c r="O195" i="9" s="1"/>
  <c r="N194" i="9"/>
  <c r="O194" i="9"/>
  <c r="V194" i="9"/>
  <c r="N193" i="9"/>
  <c r="O193" i="9" s="1"/>
  <c r="V193" i="9"/>
  <c r="V192" i="9"/>
  <c r="N192" i="9"/>
  <c r="O192" i="9" s="1"/>
  <c r="V191" i="9"/>
  <c r="N191" i="9"/>
  <c r="O191" i="9" s="1"/>
  <c r="N190" i="9"/>
  <c r="V190" i="9"/>
  <c r="O190" i="9"/>
  <c r="N189" i="9"/>
  <c r="O189" i="9" s="1"/>
  <c r="V189" i="9"/>
  <c r="V188" i="9"/>
  <c r="N188" i="9"/>
  <c r="O188" i="9" s="1"/>
  <c r="N187" i="9"/>
  <c r="O187" i="9" s="1"/>
  <c r="V187" i="9"/>
  <c r="L50" i="8" s="1"/>
  <c r="H68" i="2" s="1"/>
  <c r="V186" i="9"/>
  <c r="N186" i="9"/>
  <c r="O186" i="9" s="1"/>
  <c r="N185" i="9"/>
  <c r="O185" i="9"/>
  <c r="V185" i="9"/>
  <c r="N184" i="9"/>
  <c r="O184" i="9"/>
  <c r="V184" i="9"/>
  <c r="N183" i="9"/>
  <c r="O183" i="9"/>
  <c r="V183" i="9"/>
  <c r="L49" i="8" s="1"/>
  <c r="H79" i="2" s="1"/>
  <c r="N182" i="9"/>
  <c r="V182" i="9"/>
  <c r="O182" i="9"/>
  <c r="V181" i="9"/>
  <c r="N181" i="9"/>
  <c r="O181" i="9" s="1"/>
  <c r="V180" i="9"/>
  <c r="L48" i="8" s="1"/>
  <c r="H62" i="2" s="1"/>
  <c r="N180" i="9"/>
  <c r="O180" i="9" s="1"/>
  <c r="V179" i="9"/>
  <c r="N179" i="9"/>
  <c r="O179" i="9"/>
  <c r="N178" i="9"/>
  <c r="O178" i="9"/>
  <c r="V178" i="9"/>
  <c r="V177" i="9"/>
  <c r="N177" i="9"/>
  <c r="O177" i="9" s="1"/>
  <c r="V176" i="9"/>
  <c r="L47" i="8" s="1"/>
  <c r="H43" i="2" s="1"/>
  <c r="N176" i="9"/>
  <c r="O176" i="9"/>
  <c r="N175" i="9"/>
  <c r="O175" i="9"/>
  <c r="V175" i="9"/>
  <c r="N174" i="9"/>
  <c r="O174" i="9" s="1"/>
  <c r="V174" i="9"/>
  <c r="V173" i="9"/>
  <c r="L46" i="8" s="1"/>
  <c r="H36" i="2" s="1"/>
  <c r="N173" i="9"/>
  <c r="O173" i="9" s="1"/>
  <c r="N172" i="9"/>
  <c r="O172" i="9" s="1"/>
  <c r="V172" i="9"/>
  <c r="V171" i="9"/>
  <c r="N171" i="9"/>
  <c r="O171" i="9" s="1"/>
  <c r="V170" i="9"/>
  <c r="N170" i="9"/>
  <c r="O170" i="9" s="1"/>
  <c r="N169" i="9"/>
  <c r="O169" i="9"/>
  <c r="V169" i="9"/>
  <c r="V168" i="9"/>
  <c r="N168" i="9"/>
  <c r="O168" i="9"/>
  <c r="V167" i="9"/>
  <c r="L45" i="8" s="1"/>
  <c r="H15" i="2" s="1"/>
  <c r="N167" i="9"/>
  <c r="O167" i="9" s="1"/>
  <c r="N166" i="9"/>
  <c r="O166" i="9"/>
  <c r="V166" i="9"/>
  <c r="V165" i="9"/>
  <c r="N165" i="9"/>
  <c r="O165" i="9" s="1"/>
  <c r="N164" i="9"/>
  <c r="O164" i="9"/>
  <c r="V164" i="9"/>
  <c r="L44" i="8" s="1"/>
  <c r="H55" i="2" s="1"/>
  <c r="V163" i="9"/>
  <c r="L43" i="8" s="1"/>
  <c r="H92" i="2" s="1"/>
  <c r="N163" i="9"/>
  <c r="O163" i="9" s="1"/>
  <c r="N162" i="9"/>
  <c r="O162" i="9" s="1"/>
  <c r="V162" i="9"/>
  <c r="L42" i="8" s="1"/>
  <c r="H175" i="2" s="1"/>
  <c r="V161" i="9"/>
  <c r="N161" i="9"/>
  <c r="O161" i="9" s="1"/>
  <c r="V160" i="9"/>
  <c r="N160" i="9"/>
  <c r="O160" i="9" s="1"/>
  <c r="V159" i="9"/>
  <c r="N159" i="9"/>
  <c r="O159" i="9"/>
  <c r="N158" i="9"/>
  <c r="O158" i="9"/>
  <c r="V158" i="9"/>
  <c r="V157" i="9"/>
  <c r="N157" i="9"/>
  <c r="O157" i="9" s="1"/>
  <c r="V156" i="9"/>
  <c r="L41" i="8" s="1"/>
  <c r="H17" i="2" s="1"/>
  <c r="N156" i="9"/>
  <c r="O156" i="9" s="1"/>
  <c r="V155" i="9"/>
  <c r="N155" i="9"/>
  <c r="O155" i="9" s="1"/>
  <c r="N154" i="9"/>
  <c r="O154" i="9" s="1"/>
  <c r="V154" i="9"/>
  <c r="L40" i="8" s="1"/>
  <c r="H91" i="2" s="1"/>
  <c r="N153" i="9"/>
  <c r="O153" i="9"/>
  <c r="V153" i="9"/>
  <c r="N152" i="9"/>
  <c r="O152" i="9"/>
  <c r="V152" i="9"/>
  <c r="N151" i="9"/>
  <c r="V151" i="9"/>
  <c r="O151" i="9"/>
  <c r="V150" i="9"/>
  <c r="N150" i="9"/>
  <c r="O150" i="9" s="1"/>
  <c r="V149" i="9"/>
  <c r="N149" i="9"/>
  <c r="O149" i="9" s="1"/>
  <c r="N148" i="9"/>
  <c r="O148" i="9"/>
  <c r="V148" i="9"/>
  <c r="V147" i="9"/>
  <c r="L39" i="8" s="1"/>
  <c r="H14" i="2" s="1"/>
  <c r="N147" i="9"/>
  <c r="O147" i="9"/>
  <c r="N146" i="9"/>
  <c r="O146" i="9"/>
  <c r="V146" i="9"/>
  <c r="N145" i="9"/>
  <c r="O145" i="9"/>
  <c r="V145" i="9"/>
  <c r="N144" i="9"/>
  <c r="O144" i="9"/>
  <c r="V144" i="9"/>
  <c r="V143" i="9"/>
  <c r="N143" i="9"/>
  <c r="O143" i="9" s="1"/>
  <c r="N142" i="9"/>
  <c r="O142" i="9"/>
  <c r="V142" i="9"/>
  <c r="N141" i="9"/>
  <c r="O141" i="9"/>
  <c r="V141" i="9"/>
  <c r="N140" i="9"/>
  <c r="O140" i="9" s="1"/>
  <c r="V140" i="9"/>
  <c r="L38" i="8" s="1"/>
  <c r="H13" i="2" s="1"/>
  <c r="V139" i="9"/>
  <c r="L37" i="8" s="1"/>
  <c r="H161" i="2" s="1"/>
  <c r="N139" i="9"/>
  <c r="O139" i="9" s="1"/>
  <c r="N138" i="9"/>
  <c r="O138" i="9" s="1"/>
  <c r="V138" i="9"/>
  <c r="L36" i="8" s="1"/>
  <c r="H157" i="2" s="1"/>
  <c r="N137" i="9"/>
  <c r="O137" i="9"/>
  <c r="V137" i="9"/>
  <c r="V136" i="9"/>
  <c r="N136" i="9"/>
  <c r="O136" i="9" s="1"/>
  <c r="V135" i="9"/>
  <c r="N135" i="9"/>
  <c r="O135" i="9" s="1"/>
  <c r="N134" i="9"/>
  <c r="V134" i="9"/>
  <c r="L35" i="8" s="1"/>
  <c r="H176" i="2" s="1"/>
  <c r="O134" i="9"/>
  <c r="N133" i="9"/>
  <c r="O133" i="9"/>
  <c r="V133" i="9"/>
  <c r="L34" i="8" s="1"/>
  <c r="H61" i="2" s="1"/>
  <c r="N132" i="9"/>
  <c r="O132" i="9"/>
  <c r="V132" i="9"/>
  <c r="L33" i="8" s="1"/>
  <c r="H114" i="2" s="1"/>
  <c r="N131" i="9"/>
  <c r="O131" i="9"/>
  <c r="V131" i="9"/>
  <c r="N130" i="9"/>
  <c r="O130" i="9"/>
  <c r="V130" i="9"/>
  <c r="N129" i="9"/>
  <c r="O129" i="9"/>
  <c r="V129" i="9"/>
  <c r="V128" i="9"/>
  <c r="N128" i="9"/>
  <c r="O128" i="9" s="1"/>
  <c r="V127" i="9"/>
  <c r="L32" i="8" s="1"/>
  <c r="H35" i="2" s="1"/>
  <c r="N127" i="9"/>
  <c r="O127" i="9" s="1"/>
  <c r="N126" i="9"/>
  <c r="O126" i="9"/>
  <c r="V126" i="9"/>
  <c r="L31" i="8" s="1"/>
  <c r="H146" i="2" s="1"/>
  <c r="N125" i="9"/>
  <c r="O125" i="9" s="1"/>
  <c r="V125" i="9"/>
  <c r="N124" i="9"/>
  <c r="V124" i="9"/>
  <c r="O124" i="9"/>
  <c r="N123" i="9"/>
  <c r="O123" i="9"/>
  <c r="V123" i="9"/>
  <c r="N122" i="9"/>
  <c r="O122" i="9"/>
  <c r="V122" i="9"/>
  <c r="V121" i="9"/>
  <c r="L30" i="8" s="1"/>
  <c r="H10" i="2" s="1"/>
  <c r="N121" i="9"/>
  <c r="O121" i="9"/>
  <c r="N120" i="9"/>
  <c r="O120" i="9" s="1"/>
  <c r="V120" i="9"/>
  <c r="N119" i="9"/>
  <c r="O119" i="9"/>
  <c r="V119" i="9"/>
  <c r="N118" i="9"/>
  <c r="V118" i="9"/>
  <c r="O118" i="9"/>
  <c r="V117" i="9"/>
  <c r="L29" i="8" s="1"/>
  <c r="H46" i="2" s="1"/>
  <c r="N117" i="9"/>
  <c r="O117" i="9" s="1"/>
  <c r="V116" i="9"/>
  <c r="N116" i="9"/>
  <c r="O116" i="9" s="1"/>
  <c r="V115" i="9"/>
  <c r="N115" i="9"/>
  <c r="O115" i="9"/>
  <c r="N114" i="9"/>
  <c r="V114" i="9"/>
  <c r="O114" i="9"/>
  <c r="V113" i="9"/>
  <c r="N113" i="9"/>
  <c r="O113" i="9" s="1"/>
  <c r="N112" i="9"/>
  <c r="O112" i="9" s="1"/>
  <c r="V112" i="9"/>
  <c r="N111" i="9"/>
  <c r="V111" i="9"/>
  <c r="O111" i="9"/>
  <c r="V110" i="9"/>
  <c r="L27" i="8" s="1"/>
  <c r="H74" i="2" s="1"/>
  <c r="N110" i="9"/>
  <c r="O110" i="9" s="1"/>
  <c r="V109" i="9"/>
  <c r="N109" i="9"/>
  <c r="O109" i="9" s="1"/>
  <c r="N108" i="9"/>
  <c r="V108" i="9"/>
  <c r="O108" i="9"/>
  <c r="V107" i="9"/>
  <c r="N107" i="9"/>
  <c r="O107" i="9" s="1"/>
  <c r="N106" i="9"/>
  <c r="V106" i="9"/>
  <c r="L26" i="8" s="1"/>
  <c r="H23" i="2" s="1"/>
  <c r="O106" i="9"/>
  <c r="V105" i="9"/>
  <c r="N105" i="9"/>
  <c r="O105" i="9"/>
  <c r="N104" i="9"/>
  <c r="O104" i="9" s="1"/>
  <c r="V104" i="9"/>
  <c r="L25" i="8" s="1"/>
  <c r="H65" i="2" s="1"/>
  <c r="N103" i="9"/>
  <c r="V103" i="9"/>
  <c r="O103" i="9"/>
  <c r="V102" i="9"/>
  <c r="N102" i="9"/>
  <c r="O102" i="9" s="1"/>
  <c r="N101" i="9"/>
  <c r="O101" i="9"/>
  <c r="V101" i="9"/>
  <c r="V100" i="9"/>
  <c r="L24" i="8" s="1"/>
  <c r="H167" i="2" s="1"/>
  <c r="N100" i="9"/>
  <c r="O100" i="9" s="1"/>
  <c r="V99" i="9"/>
  <c r="N99" i="9"/>
  <c r="O99" i="9"/>
  <c r="V98" i="9"/>
  <c r="N98" i="9"/>
  <c r="O98" i="9" s="1"/>
  <c r="V97" i="9"/>
  <c r="N97" i="9"/>
  <c r="O97" i="9" s="1"/>
  <c r="N96" i="9"/>
  <c r="O96" i="9" s="1"/>
  <c r="V96" i="9"/>
  <c r="L23" i="8" s="1"/>
  <c r="H100" i="2" s="1"/>
  <c r="V95" i="9"/>
  <c r="N95" i="9"/>
  <c r="O95" i="9"/>
  <c r="V94" i="9"/>
  <c r="L22" i="8" s="1"/>
  <c r="H83" i="2" s="1"/>
  <c r="N94" i="9"/>
  <c r="O94" i="9" s="1"/>
  <c r="N93" i="9"/>
  <c r="O93" i="9"/>
  <c r="V93" i="9"/>
  <c r="N92" i="9"/>
  <c r="O92" i="9"/>
  <c r="V92" i="9"/>
  <c r="L21" i="8" s="1"/>
  <c r="H105" i="2" s="1"/>
  <c r="V91" i="9"/>
  <c r="N91" i="9"/>
  <c r="O91" i="9" s="1"/>
  <c r="V90" i="9"/>
  <c r="L20" i="8" s="1"/>
  <c r="H103" i="2" s="1"/>
  <c r="N90" i="9"/>
  <c r="O90" i="9" s="1"/>
  <c r="V89" i="9"/>
  <c r="N89" i="9"/>
  <c r="O89" i="9" s="1"/>
  <c r="V88" i="9"/>
  <c r="N88" i="9"/>
  <c r="O88" i="9" s="1"/>
  <c r="N87" i="9"/>
  <c r="O87" i="9" s="1"/>
  <c r="V87" i="9"/>
  <c r="N86" i="9"/>
  <c r="V86" i="9"/>
  <c r="L19" i="8" s="1"/>
  <c r="H72" i="2" s="1"/>
  <c r="O86" i="9"/>
  <c r="U85" i="9"/>
  <c r="O85" i="9"/>
  <c r="N84" i="9"/>
  <c r="V84" i="9"/>
  <c r="O84" i="9"/>
  <c r="N83" i="9"/>
  <c r="O83" i="9"/>
  <c r="V83" i="9"/>
  <c r="L18" i="8" s="1"/>
  <c r="H108" i="2" s="1"/>
  <c r="V82" i="9"/>
  <c r="N82" i="9"/>
  <c r="O82" i="9" s="1"/>
  <c r="N81" i="9"/>
  <c r="O81" i="9"/>
  <c r="V81" i="9"/>
  <c r="N80" i="9"/>
  <c r="O80" i="9" s="1"/>
  <c r="V80" i="9"/>
  <c r="L17" i="8" s="1"/>
  <c r="H107" i="2" s="1"/>
  <c r="V79" i="9"/>
  <c r="N79" i="9"/>
  <c r="O79" i="9" s="1"/>
  <c r="N78" i="9"/>
  <c r="O78" i="9"/>
  <c r="V78" i="9"/>
  <c r="N77" i="9"/>
  <c r="O77" i="9"/>
  <c r="V77" i="9"/>
  <c r="L16" i="8" s="1"/>
  <c r="H40" i="2" s="1"/>
  <c r="N76" i="9"/>
  <c r="O76" i="9"/>
  <c r="V76" i="9"/>
  <c r="N75" i="9"/>
  <c r="O75" i="9"/>
  <c r="V75" i="9"/>
  <c r="V74" i="9"/>
  <c r="L15" i="8" s="1"/>
  <c r="H39" i="2" s="1"/>
  <c r="N74" i="9"/>
  <c r="O74" i="9" s="1"/>
  <c r="V73" i="9"/>
  <c r="N73" i="9"/>
  <c r="O73" i="9" s="1"/>
  <c r="N72" i="9"/>
  <c r="O72" i="9" s="1"/>
  <c r="V72" i="9"/>
  <c r="V71" i="9"/>
  <c r="N71" i="9"/>
  <c r="O71" i="9" s="1"/>
  <c r="N70" i="9"/>
  <c r="O70" i="9" s="1"/>
  <c r="V70" i="9"/>
  <c r="L14" i="8" s="1"/>
  <c r="H86" i="2" s="1"/>
  <c r="N69" i="9"/>
  <c r="O69" i="9" s="1"/>
  <c r="V69" i="9"/>
  <c r="N68" i="9"/>
  <c r="V68" i="9"/>
  <c r="O68" i="9"/>
  <c r="N67" i="9"/>
  <c r="O67" i="9"/>
  <c r="V67" i="9"/>
  <c r="N66" i="9"/>
  <c r="O66" i="9" s="1"/>
  <c r="V66" i="9"/>
  <c r="V65" i="9"/>
  <c r="N65" i="9"/>
  <c r="O65" i="9" s="1"/>
  <c r="N64" i="9"/>
  <c r="O64" i="9"/>
  <c r="V64" i="9"/>
  <c r="L13" i="8" s="1"/>
  <c r="H7" i="2" s="1"/>
  <c r="N63" i="9"/>
  <c r="O63" i="9"/>
  <c r="V63" i="9"/>
  <c r="V62" i="9"/>
  <c r="N62" i="9"/>
  <c r="O62" i="9" s="1"/>
  <c r="V61" i="9"/>
  <c r="N61" i="9"/>
  <c r="O61" i="9" s="1"/>
  <c r="N60" i="9"/>
  <c r="O60" i="9"/>
  <c r="V60" i="9"/>
  <c r="L12" i="8" s="1"/>
  <c r="H9" i="2" s="1"/>
  <c r="N59" i="9"/>
  <c r="O59" i="9"/>
  <c r="V59" i="9"/>
  <c r="V58" i="9"/>
  <c r="N58" i="9"/>
  <c r="O58" i="9"/>
  <c r="N57" i="9"/>
  <c r="O57" i="9" s="1"/>
  <c r="V57" i="9"/>
  <c r="N56" i="9"/>
  <c r="V56" i="9"/>
  <c r="O56" i="9"/>
  <c r="V55" i="9"/>
  <c r="N55" i="9"/>
  <c r="O55" i="9" s="1"/>
  <c r="N54" i="9"/>
  <c r="O54" i="9" s="1"/>
  <c r="V54" i="9"/>
  <c r="N53" i="9"/>
  <c r="V53" i="9"/>
  <c r="L11" i="8" s="1"/>
  <c r="H60" i="2" s="1"/>
  <c r="O53" i="9"/>
  <c r="V52" i="9"/>
  <c r="N52" i="9"/>
  <c r="O52" i="9"/>
  <c r="V51" i="9"/>
  <c r="N51" i="9"/>
  <c r="O51" i="9"/>
  <c r="V50" i="9"/>
  <c r="N50" i="9"/>
  <c r="O50" i="9"/>
  <c r="N49" i="9"/>
  <c r="V49" i="9"/>
  <c r="O49" i="9"/>
  <c r="V48" i="9"/>
  <c r="N48" i="9"/>
  <c r="O48" i="9" s="1"/>
  <c r="N47" i="9"/>
  <c r="V47" i="9"/>
  <c r="O47" i="9"/>
  <c r="V46" i="9"/>
  <c r="N46" i="9"/>
  <c r="O46" i="9" s="1"/>
  <c r="V45" i="9"/>
  <c r="N45" i="9"/>
  <c r="O45" i="9" s="1"/>
  <c r="V44" i="9"/>
  <c r="N44" i="9"/>
  <c r="O44" i="9" s="1"/>
  <c r="V43" i="9"/>
  <c r="N43" i="9"/>
  <c r="O43" i="9" s="1"/>
  <c r="V42" i="9"/>
  <c r="N42" i="9"/>
  <c r="O42" i="9" s="1"/>
  <c r="V41" i="9"/>
  <c r="N41" i="9"/>
  <c r="O41" i="9" s="1"/>
  <c r="V40" i="9"/>
  <c r="N40" i="9"/>
  <c r="O40" i="9"/>
  <c r="N39" i="9"/>
  <c r="O39" i="9" s="1"/>
  <c r="V39" i="9"/>
  <c r="N38" i="9"/>
  <c r="V38" i="9"/>
  <c r="L10" i="8" s="1"/>
  <c r="H119" i="2" s="1"/>
  <c r="O38" i="9"/>
  <c r="N37" i="9"/>
  <c r="O37" i="9"/>
  <c r="V37" i="9"/>
  <c r="N36" i="9"/>
  <c r="V36" i="9"/>
  <c r="O36" i="9"/>
  <c r="N35" i="9"/>
  <c r="V35" i="9"/>
  <c r="O35" i="9"/>
  <c r="V34" i="9"/>
  <c r="N34" i="9"/>
  <c r="O34" i="9" s="1"/>
  <c r="N33" i="9"/>
  <c r="O33" i="9" s="1"/>
  <c r="V33" i="9"/>
  <c r="V32" i="9"/>
  <c r="N32" i="9"/>
  <c r="O32" i="9"/>
  <c r="N31" i="9"/>
  <c r="V31" i="9"/>
  <c r="O31" i="9"/>
  <c r="N30" i="9"/>
  <c r="O30" i="9"/>
  <c r="V30" i="9"/>
  <c r="N29" i="9"/>
  <c r="O29" i="9"/>
  <c r="V29" i="9"/>
  <c r="N28" i="9"/>
  <c r="O28" i="9"/>
  <c r="V28" i="9"/>
  <c r="V27" i="9"/>
  <c r="N27" i="9"/>
  <c r="O27" i="9"/>
  <c r="V26" i="9"/>
  <c r="N26" i="9"/>
  <c r="O26" i="9"/>
  <c r="N25" i="9"/>
  <c r="V25" i="9"/>
  <c r="O25" i="9"/>
  <c r="V24" i="9"/>
  <c r="N24" i="9"/>
  <c r="O24" i="9" s="1"/>
  <c r="V23" i="9"/>
  <c r="N23" i="9"/>
  <c r="O23" i="9"/>
  <c r="N22" i="9"/>
  <c r="O22" i="9" s="1"/>
  <c r="V22" i="9"/>
  <c r="L8" i="8" s="1"/>
  <c r="H24" i="2" s="1"/>
  <c r="V21" i="9"/>
  <c r="N21" i="9"/>
  <c r="O21" i="9" s="1"/>
  <c r="V20" i="9"/>
  <c r="N20" i="9"/>
  <c r="O20" i="9"/>
  <c r="N19" i="9"/>
  <c r="O19" i="9"/>
  <c r="V19" i="9"/>
  <c r="N18" i="9"/>
  <c r="O18" i="9"/>
  <c r="V18" i="9"/>
  <c r="N17" i="9"/>
  <c r="O17" i="9"/>
  <c r="V17" i="9"/>
  <c r="V16" i="9"/>
  <c r="N16" i="9"/>
  <c r="O16" i="9"/>
  <c r="N15" i="9"/>
  <c r="O15" i="9"/>
  <c r="V15" i="9"/>
  <c r="L7" i="8" s="1"/>
  <c r="H41" i="2" s="1"/>
  <c r="V14" i="9"/>
  <c r="N14" i="9"/>
  <c r="O14" i="9"/>
  <c r="V13" i="9"/>
  <c r="N13" i="9"/>
  <c r="O13" i="9" s="1"/>
  <c r="V12" i="9"/>
  <c r="N12" i="9"/>
  <c r="O12" i="9"/>
  <c r="N11" i="9"/>
  <c r="O11" i="9"/>
  <c r="V11" i="9"/>
  <c r="N10" i="9"/>
  <c r="O10" i="9"/>
  <c r="V10" i="9"/>
  <c r="N9" i="9"/>
  <c r="O9" i="9" s="1"/>
  <c r="V9" i="9"/>
  <c r="N8" i="9"/>
  <c r="V8" i="9"/>
  <c r="L6" i="8" s="1"/>
  <c r="H6" i="2" s="1"/>
  <c r="O8" i="9"/>
  <c r="V7" i="9"/>
  <c r="N7" i="9"/>
  <c r="O7" i="9" s="1"/>
  <c r="N6" i="9"/>
  <c r="O6" i="9"/>
  <c r="V6" i="9"/>
  <c r="V5" i="9"/>
  <c r="N5" i="9"/>
  <c r="O5" i="9" s="1"/>
  <c r="V4" i="9"/>
  <c r="N4" i="9"/>
  <c r="O4" i="9" s="1"/>
  <c r="V3" i="9"/>
  <c r="N3" i="9"/>
  <c r="O3" i="9" s="1"/>
  <c r="V2" i="9"/>
  <c r="L5" i="8" s="1"/>
  <c r="N2" i="9"/>
  <c r="O2" i="9"/>
  <c r="H40" i="8"/>
  <c r="I198" i="8"/>
  <c r="J198" i="8" s="1"/>
  <c r="I197" i="8"/>
  <c r="J197" i="8" s="1"/>
  <c r="I196" i="8"/>
  <c r="J196" i="8" s="1"/>
  <c r="I195" i="8"/>
  <c r="J195" i="8"/>
  <c r="I194" i="8"/>
  <c r="J194" i="8" s="1"/>
  <c r="I193" i="8"/>
  <c r="J193" i="8"/>
  <c r="I192" i="8"/>
  <c r="J192" i="8"/>
  <c r="I191" i="8"/>
  <c r="J191" i="8" s="1"/>
  <c r="I190" i="8"/>
  <c r="J190" i="8"/>
  <c r="I189" i="8"/>
  <c r="J189" i="8" s="1"/>
  <c r="I188" i="8"/>
  <c r="J188" i="8" s="1"/>
  <c r="I187" i="8"/>
  <c r="J187" i="8"/>
  <c r="I186" i="8"/>
  <c r="J186" i="8" s="1"/>
  <c r="I185" i="8"/>
  <c r="J185" i="8" s="1"/>
  <c r="I184" i="8"/>
  <c r="J184" i="8"/>
  <c r="I183" i="8"/>
  <c r="J183" i="8" s="1"/>
  <c r="I182" i="8"/>
  <c r="J182" i="8" s="1"/>
  <c r="I181" i="8"/>
  <c r="J181" i="8" s="1"/>
  <c r="I180" i="8"/>
  <c r="J180" i="8" s="1"/>
  <c r="I179" i="8"/>
  <c r="J179" i="8" s="1"/>
  <c r="I178" i="8"/>
  <c r="J178" i="8"/>
  <c r="I177" i="8"/>
  <c r="J177" i="8" s="1"/>
  <c r="I176" i="8"/>
  <c r="J176" i="8"/>
  <c r="I175" i="8"/>
  <c r="J175" i="8" s="1"/>
  <c r="I174" i="8"/>
  <c r="J174" i="8"/>
  <c r="I173" i="8"/>
  <c r="J173" i="8" s="1"/>
  <c r="I172" i="8"/>
  <c r="J172" i="8" s="1"/>
  <c r="I171" i="8"/>
  <c r="J171" i="8"/>
  <c r="I170" i="8"/>
  <c r="J170" i="8" s="1"/>
  <c r="I169" i="8"/>
  <c r="J169" i="8" s="1"/>
  <c r="I168" i="8"/>
  <c r="J168" i="8"/>
  <c r="I167" i="8"/>
  <c r="J167" i="8" s="1"/>
  <c r="I166" i="8"/>
  <c r="J166" i="8"/>
  <c r="I165" i="8"/>
  <c r="J165" i="8"/>
  <c r="I164" i="8"/>
  <c r="J164" i="8" s="1"/>
  <c r="I163" i="8"/>
  <c r="J163" i="8" s="1"/>
  <c r="I162" i="8"/>
  <c r="J162" i="8"/>
  <c r="I161" i="8"/>
  <c r="J161" i="8" s="1"/>
  <c r="I160" i="8"/>
  <c r="J160" i="8"/>
  <c r="I159" i="8"/>
  <c r="J159" i="8" s="1"/>
  <c r="I158" i="8"/>
  <c r="J158" i="8" s="1"/>
  <c r="I157" i="8"/>
  <c r="J157" i="8"/>
  <c r="I156" i="8"/>
  <c r="J156" i="8"/>
  <c r="I155" i="8"/>
  <c r="J155" i="8"/>
  <c r="I154" i="8"/>
  <c r="J154" i="8"/>
  <c r="I153" i="8"/>
  <c r="J153" i="8" s="1"/>
  <c r="J75" i="2"/>
  <c r="O152" i="8"/>
  <c r="J152" i="8"/>
  <c r="I152" i="8"/>
  <c r="J184" i="2"/>
  <c r="O151" i="8"/>
  <c r="I151" i="8"/>
  <c r="J151" i="8"/>
  <c r="I150" i="8"/>
  <c r="J150" i="8"/>
  <c r="I149" i="8"/>
  <c r="J149" i="8" s="1"/>
  <c r="I148" i="8"/>
  <c r="J148" i="8"/>
  <c r="I147" i="8"/>
  <c r="J147" i="8" s="1"/>
  <c r="I146" i="8"/>
  <c r="J146" i="8"/>
  <c r="I145" i="8"/>
  <c r="J145" i="8"/>
  <c r="I144" i="8"/>
  <c r="J144" i="8" s="1"/>
  <c r="I143" i="8"/>
  <c r="J143" i="8"/>
  <c r="I142" i="8"/>
  <c r="J142" i="8" s="1"/>
  <c r="I141" i="8"/>
  <c r="J141" i="8" s="1"/>
  <c r="I140" i="8"/>
  <c r="J140" i="8" s="1"/>
  <c r="I139" i="8"/>
  <c r="J139" i="8" s="1"/>
  <c r="I138" i="8"/>
  <c r="J138" i="8"/>
  <c r="I137" i="8"/>
  <c r="J137" i="8" s="1"/>
  <c r="I136" i="8"/>
  <c r="J136" i="8" s="1"/>
  <c r="I135" i="8"/>
  <c r="J135" i="8"/>
  <c r="I134" i="8"/>
  <c r="J134" i="8" s="1"/>
  <c r="I133" i="8"/>
  <c r="J133" i="8" s="1"/>
  <c r="I132" i="8"/>
  <c r="J132" i="8"/>
  <c r="I131" i="8"/>
  <c r="J131" i="8" s="1"/>
  <c r="I130" i="8"/>
  <c r="J130" i="8" s="1"/>
  <c r="I129" i="8"/>
  <c r="J129" i="8" s="1"/>
  <c r="I128" i="8"/>
  <c r="J128" i="8"/>
  <c r="I127" i="8"/>
  <c r="J127" i="8" s="1"/>
  <c r="I126" i="8"/>
  <c r="J126" i="8" s="1"/>
  <c r="I125" i="8"/>
  <c r="J125" i="8"/>
  <c r="I124" i="8"/>
  <c r="J124" i="8"/>
  <c r="I123" i="8"/>
  <c r="J123" i="8" s="1"/>
  <c r="I122" i="8"/>
  <c r="J122" i="8" s="1"/>
  <c r="I121" i="8"/>
  <c r="J121" i="8"/>
  <c r="I120" i="8"/>
  <c r="J120" i="8"/>
  <c r="I119" i="8"/>
  <c r="J119" i="8"/>
  <c r="I118" i="8"/>
  <c r="J118" i="8"/>
  <c r="I117" i="8"/>
  <c r="J117" i="8"/>
  <c r="I116" i="8"/>
  <c r="J116" i="8"/>
  <c r="I115" i="8"/>
  <c r="J115" i="8"/>
  <c r="I114" i="8"/>
  <c r="J114" i="8" s="1"/>
  <c r="I113" i="8"/>
  <c r="J113" i="8"/>
  <c r="I112" i="8"/>
  <c r="J112" i="8" s="1"/>
  <c r="I111" i="8"/>
  <c r="J111" i="8"/>
  <c r="I110" i="8"/>
  <c r="J110" i="8" s="1"/>
  <c r="I109" i="8"/>
  <c r="J109" i="8"/>
  <c r="I108" i="8"/>
  <c r="J108" i="8" s="1"/>
  <c r="I107" i="8"/>
  <c r="J107" i="8" s="1"/>
  <c r="I106" i="8"/>
  <c r="J106" i="8" s="1"/>
  <c r="I105" i="8"/>
  <c r="J105" i="8" s="1"/>
  <c r="I104" i="8"/>
  <c r="J104" i="8"/>
  <c r="I103" i="8"/>
  <c r="J103" i="8"/>
  <c r="I102" i="8"/>
  <c r="J102" i="8" s="1"/>
  <c r="I101" i="8"/>
  <c r="J101" i="8"/>
  <c r="I100" i="8"/>
  <c r="J100" i="8" s="1"/>
  <c r="I99" i="8"/>
  <c r="J99" i="8"/>
  <c r="I98" i="8"/>
  <c r="J98" i="8" s="1"/>
  <c r="I97" i="8"/>
  <c r="J97" i="8"/>
  <c r="I96" i="8"/>
  <c r="J96" i="8" s="1"/>
  <c r="I95" i="8"/>
  <c r="J95" i="8"/>
  <c r="I94" i="8"/>
  <c r="J94" i="8"/>
  <c r="I93" i="8"/>
  <c r="J93" i="8" s="1"/>
  <c r="I92" i="8"/>
  <c r="J92" i="8" s="1"/>
  <c r="I91" i="8"/>
  <c r="J91" i="8"/>
  <c r="I90" i="8"/>
  <c r="J90" i="8" s="1"/>
  <c r="I89" i="8"/>
  <c r="J89" i="8"/>
  <c r="I88" i="8"/>
  <c r="J88" i="8" s="1"/>
  <c r="I87" i="8"/>
  <c r="J87" i="8"/>
  <c r="I86" i="8"/>
  <c r="J86" i="8" s="1"/>
  <c r="I85" i="8"/>
  <c r="J85" i="8"/>
  <c r="I84" i="8"/>
  <c r="J84" i="8"/>
  <c r="I83" i="8"/>
  <c r="J83" i="8" s="1"/>
  <c r="I82" i="8"/>
  <c r="J82" i="8"/>
  <c r="I81" i="8"/>
  <c r="J81" i="8"/>
  <c r="I80" i="8"/>
  <c r="J80" i="8" s="1"/>
  <c r="I79" i="8"/>
  <c r="J79" i="8"/>
  <c r="I78" i="8"/>
  <c r="J78" i="8" s="1"/>
  <c r="I77" i="8"/>
  <c r="J77" i="8"/>
  <c r="I76" i="8"/>
  <c r="J76" i="8"/>
  <c r="I75" i="8"/>
  <c r="J75" i="8"/>
  <c r="I74" i="8"/>
  <c r="J74" i="8"/>
  <c r="I73" i="8"/>
  <c r="J73" i="8"/>
  <c r="I72" i="8"/>
  <c r="J72" i="8"/>
  <c r="I71" i="8"/>
  <c r="J71" i="8"/>
  <c r="I70" i="8"/>
  <c r="J70" i="8"/>
  <c r="I69" i="8"/>
  <c r="J69" i="8"/>
  <c r="I68" i="8"/>
  <c r="J68" i="8"/>
  <c r="I67" i="8"/>
  <c r="J67" i="8"/>
  <c r="I66" i="8"/>
  <c r="J66" i="8" s="1"/>
  <c r="I65" i="8"/>
  <c r="J65" i="8" s="1"/>
  <c r="I64" i="8"/>
  <c r="J64" i="8"/>
  <c r="I63" i="8"/>
  <c r="J63" i="8"/>
  <c r="I62" i="8"/>
  <c r="J62" i="8" s="1"/>
  <c r="I61" i="8"/>
  <c r="J61" i="8"/>
  <c r="I60" i="8"/>
  <c r="J60" i="8"/>
  <c r="I59" i="8"/>
  <c r="J59" i="8" s="1"/>
  <c r="I58" i="8"/>
  <c r="J58" i="8"/>
  <c r="I57" i="8"/>
  <c r="J57" i="8"/>
  <c r="I56" i="8"/>
  <c r="J56" i="8" s="1"/>
  <c r="I55" i="8"/>
  <c r="J55" i="8"/>
  <c r="I54" i="8"/>
  <c r="J54" i="8" s="1"/>
  <c r="I53" i="8"/>
  <c r="J53" i="8"/>
  <c r="I52" i="8"/>
  <c r="J52" i="8" s="1"/>
  <c r="I51" i="8"/>
  <c r="J51" i="8" s="1"/>
  <c r="I50" i="8"/>
  <c r="J50" i="8"/>
  <c r="I49" i="8"/>
  <c r="J49" i="8"/>
  <c r="I48" i="8"/>
  <c r="J48" i="8"/>
  <c r="I47" i="8"/>
  <c r="J47" i="8"/>
  <c r="I46" i="8"/>
  <c r="J46" i="8" s="1"/>
  <c r="I45" i="8"/>
  <c r="J45" i="8" s="1"/>
  <c r="I44" i="8"/>
  <c r="J44" i="8" s="1"/>
  <c r="I43" i="8"/>
  <c r="J43" i="8"/>
  <c r="I42" i="8"/>
  <c r="J42" i="8" s="1"/>
  <c r="I41" i="8"/>
  <c r="J41" i="8"/>
  <c r="I39" i="8"/>
  <c r="J39" i="8" s="1"/>
  <c r="I38" i="8"/>
  <c r="J38" i="8" s="1"/>
  <c r="I37" i="8"/>
  <c r="J37" i="8" s="1"/>
  <c r="I36" i="8"/>
  <c r="J36" i="8" s="1"/>
  <c r="I35" i="8"/>
  <c r="J35" i="8" s="1"/>
  <c r="I34" i="8"/>
  <c r="J34" i="8" s="1"/>
  <c r="I33" i="8"/>
  <c r="J33" i="8"/>
  <c r="I32" i="8"/>
  <c r="J32" i="8"/>
  <c r="I31" i="8"/>
  <c r="J31" i="8"/>
  <c r="I30" i="8"/>
  <c r="J30" i="8" s="1"/>
  <c r="I29" i="8"/>
  <c r="J29" i="8"/>
  <c r="I28" i="8"/>
  <c r="J28" i="8"/>
  <c r="I27" i="8"/>
  <c r="J27" i="8" s="1"/>
  <c r="I26" i="8"/>
  <c r="J26" i="8" s="1"/>
  <c r="I25" i="8"/>
  <c r="J25" i="8"/>
  <c r="I24" i="8"/>
  <c r="J24" i="8" s="1"/>
  <c r="I23" i="8"/>
  <c r="J23" i="8" s="1"/>
  <c r="I22" i="8"/>
  <c r="J22" i="8" s="1"/>
  <c r="I21" i="8"/>
  <c r="J21" i="8"/>
  <c r="I20" i="8"/>
  <c r="J20" i="8" s="1"/>
  <c r="I19" i="8"/>
  <c r="J19" i="8" s="1"/>
  <c r="I18" i="8"/>
  <c r="J18" i="8"/>
  <c r="I17" i="8"/>
  <c r="J17" i="8" s="1"/>
  <c r="I16" i="8"/>
  <c r="J16" i="8"/>
  <c r="I15" i="8"/>
  <c r="J15" i="8" s="1"/>
  <c r="I14" i="8"/>
  <c r="J14" i="8" s="1"/>
  <c r="I13" i="8"/>
  <c r="J13" i="8"/>
  <c r="I12" i="8"/>
  <c r="J12" i="8" s="1"/>
  <c r="I11" i="8"/>
  <c r="J11" i="8" s="1"/>
  <c r="I10" i="8"/>
  <c r="J10" i="8" s="1"/>
  <c r="I9" i="8"/>
  <c r="J9" i="8"/>
  <c r="I8" i="8"/>
  <c r="J8" i="8"/>
  <c r="I7" i="8"/>
  <c r="J7" i="8"/>
  <c r="I6" i="8"/>
  <c r="J6" i="8" s="1"/>
  <c r="K204" i="8"/>
  <c r="K200" i="8"/>
  <c r="I5" i="8"/>
  <c r="J5" i="8" s="1"/>
  <c r="G204" i="8"/>
  <c r="G200" i="8"/>
  <c r="F204" i="8"/>
  <c r="F200" i="8"/>
  <c r="AH166" i="4"/>
  <c r="AD166" i="4"/>
  <c r="Z166" i="4"/>
  <c r="AE131" i="2"/>
  <c r="Z157" i="4"/>
  <c r="AD157" i="4"/>
  <c r="AH157" i="4"/>
  <c r="AE74" i="2"/>
  <c r="AD189" i="4"/>
  <c r="AH189" i="4"/>
  <c r="Z189" i="4"/>
  <c r="AE187" i="2"/>
  <c r="Z45" i="4"/>
  <c r="AE58" i="2"/>
  <c r="AD45" i="4"/>
  <c r="AH45" i="4"/>
  <c r="AE62" i="2"/>
  <c r="Z75" i="4"/>
  <c r="AD75" i="4"/>
  <c r="AH75" i="4"/>
  <c r="Z19" i="4"/>
  <c r="AD19" i="4"/>
  <c r="AH19" i="4"/>
  <c r="AE9" i="2"/>
  <c r="Z117" i="4"/>
  <c r="AD117" i="4"/>
  <c r="AE145" i="2"/>
  <c r="AH117" i="4"/>
  <c r="AE144" i="2"/>
  <c r="Z116" i="4"/>
  <c r="AD116" i="4"/>
  <c r="AH116" i="4"/>
  <c r="Z83" i="4"/>
  <c r="AD83" i="4"/>
  <c r="AH83" i="4"/>
  <c r="AE94" i="2"/>
  <c r="Z17" i="4"/>
  <c r="AD17" i="4"/>
  <c r="AH17" i="4"/>
  <c r="AE14" i="2"/>
  <c r="Z35" i="4"/>
  <c r="AD35" i="4"/>
  <c r="AH35" i="4"/>
  <c r="AE38" i="2"/>
  <c r="Z16" i="4"/>
  <c r="AD16" i="4"/>
  <c r="AH16" i="4"/>
  <c r="AE13" i="2"/>
  <c r="Z178" i="4"/>
  <c r="AD178" i="4"/>
  <c r="AH178" i="4"/>
  <c r="AE156" i="2"/>
  <c r="Z29" i="4"/>
  <c r="AD29" i="4"/>
  <c r="AH29" i="4"/>
  <c r="AE26" i="2"/>
  <c r="AE67" i="2"/>
  <c r="Z69" i="4"/>
  <c r="AD69" i="4"/>
  <c r="AH69" i="4"/>
  <c r="Z43" i="4"/>
  <c r="AD43" i="4"/>
  <c r="AH43" i="4"/>
  <c r="AE59" i="2"/>
  <c r="Z158" i="4"/>
  <c r="AD158" i="4"/>
  <c r="AH158" i="4"/>
  <c r="AE96" i="2"/>
  <c r="Z26" i="4"/>
  <c r="AD26" i="4"/>
  <c r="AH26" i="4"/>
  <c r="AE27" i="2"/>
  <c r="Z56" i="4"/>
  <c r="AD56" i="4"/>
  <c r="AH56" i="4"/>
  <c r="AE52" i="2"/>
  <c r="Z32" i="4"/>
  <c r="AD32" i="4"/>
  <c r="AH32" i="4"/>
  <c r="AE28" i="2"/>
  <c r="Z13" i="4"/>
  <c r="AD13" i="4"/>
  <c r="AH13" i="4"/>
  <c r="AE15" i="2"/>
  <c r="Z11" i="4"/>
  <c r="AD11" i="4"/>
  <c r="AH11" i="4"/>
  <c r="AE10" i="2"/>
  <c r="AD60" i="4"/>
  <c r="AE46" i="2"/>
  <c r="Z60" i="4"/>
  <c r="AH60" i="4"/>
  <c r="AE152" i="2"/>
  <c r="Z175" i="4"/>
  <c r="AD175" i="4"/>
  <c r="AH175" i="4"/>
  <c r="AD82" i="4"/>
  <c r="AE73" i="2"/>
  <c r="Z82" i="4"/>
  <c r="AH82" i="4"/>
  <c r="Z33" i="4"/>
  <c r="AD33" i="4"/>
  <c r="AH33" i="4"/>
  <c r="AE29" i="2"/>
  <c r="Z153" i="4"/>
  <c r="AD153" i="4"/>
  <c r="AH153" i="4"/>
  <c r="AE181" i="2"/>
  <c r="Z152" i="4"/>
  <c r="AD152" i="4"/>
  <c r="AH152" i="4"/>
  <c r="AE180" i="2"/>
  <c r="Z136" i="4"/>
  <c r="AD136" i="4"/>
  <c r="AH136" i="4"/>
  <c r="AE167" i="2"/>
  <c r="Z164" i="4"/>
  <c r="AD164" i="4"/>
  <c r="AH164" i="4"/>
  <c r="AE142" i="2"/>
  <c r="AH68" i="4"/>
  <c r="AE106" i="2"/>
  <c r="Z68" i="4"/>
  <c r="AD68" i="4"/>
  <c r="AE76" i="2"/>
  <c r="Z54" i="4"/>
  <c r="AD54" i="4"/>
  <c r="AH54" i="4"/>
  <c r="Z20" i="4"/>
  <c r="AD20" i="4"/>
  <c r="AH20" i="4"/>
  <c r="AE34" i="2"/>
  <c r="Z14" i="4"/>
  <c r="AD14" i="4"/>
  <c r="AH14" i="4"/>
  <c r="AE19" i="2"/>
  <c r="Z41" i="4"/>
  <c r="AD41" i="4"/>
  <c r="AH41" i="4"/>
  <c r="AE23" i="2"/>
  <c r="Z40" i="4"/>
  <c r="AD40" i="4"/>
  <c r="AH40" i="4"/>
  <c r="AE54" i="2"/>
  <c r="AE149" i="2"/>
  <c r="Z174" i="4"/>
  <c r="AD174" i="4"/>
  <c r="AH174" i="4"/>
  <c r="AD84" i="4"/>
  <c r="AH84" i="4"/>
  <c r="Z84" i="4"/>
  <c r="AE95" i="2"/>
  <c r="Z15" i="4"/>
  <c r="AD15" i="4"/>
  <c r="AH15" i="4"/>
  <c r="AE17" i="2"/>
  <c r="Z18" i="4"/>
  <c r="AD18" i="4"/>
  <c r="AH18" i="4"/>
  <c r="AE12" i="2"/>
  <c r="AD44" i="4"/>
  <c r="Z44" i="4"/>
  <c r="AH44" i="4"/>
  <c r="AE35" i="2"/>
  <c r="Z149" i="4"/>
  <c r="AD149" i="4"/>
  <c r="AH149" i="4"/>
  <c r="AE172" i="2"/>
  <c r="Z38" i="4"/>
  <c r="AD38" i="4"/>
  <c r="AH38" i="4"/>
  <c r="AE49" i="2"/>
  <c r="Z146" i="4"/>
  <c r="AD146" i="4"/>
  <c r="AH146" i="4"/>
  <c r="AE186" i="2"/>
  <c r="Z34" i="4"/>
  <c r="AD34" i="4"/>
  <c r="AH34" i="4"/>
  <c r="AE20" i="2"/>
  <c r="Z140" i="4"/>
  <c r="AD140" i="4"/>
  <c r="AH140" i="4"/>
  <c r="AE169" i="2"/>
  <c r="Z151" i="4"/>
  <c r="AD151" i="4"/>
  <c r="AH151" i="4"/>
  <c r="AE188" i="2"/>
  <c r="Z89" i="4"/>
  <c r="AD89" i="4"/>
  <c r="AE98" i="2"/>
  <c r="AH89" i="4"/>
  <c r="Z124" i="4"/>
  <c r="AD124" i="4"/>
  <c r="AH124" i="4"/>
  <c r="AE115" i="2"/>
  <c r="Z133" i="4"/>
  <c r="AD133" i="4"/>
  <c r="AH133" i="4"/>
  <c r="AE125" i="2"/>
  <c r="Z128" i="4"/>
  <c r="AD128" i="4"/>
  <c r="AH128" i="4"/>
  <c r="AE117" i="2"/>
  <c r="AE70" i="2"/>
  <c r="AD66" i="4"/>
  <c r="AH66" i="4"/>
  <c r="Z66" i="4"/>
  <c r="AH92" i="4"/>
  <c r="Z92" i="4"/>
  <c r="AD92" i="4"/>
  <c r="AE79" i="2"/>
  <c r="Z96" i="4"/>
  <c r="AH96" i="4"/>
  <c r="AE120" i="2"/>
  <c r="AD96" i="4"/>
  <c r="Z110" i="4"/>
  <c r="AD110" i="4"/>
  <c r="AH110" i="4"/>
  <c r="AE127" i="2"/>
  <c r="Z114" i="4"/>
  <c r="AD114" i="4"/>
  <c r="AH114" i="4"/>
  <c r="AE123" i="2"/>
  <c r="Z129" i="4"/>
  <c r="AD129" i="4"/>
  <c r="AH129" i="4"/>
  <c r="AE136" i="2"/>
  <c r="Z109" i="4"/>
  <c r="AD109" i="4"/>
  <c r="AH109" i="4"/>
  <c r="AE124" i="2"/>
  <c r="Z159" i="4"/>
  <c r="AD159" i="4"/>
  <c r="AH159" i="4"/>
  <c r="AE100" i="2"/>
  <c r="Z101" i="4"/>
  <c r="AH101" i="4"/>
  <c r="AD101" i="4"/>
  <c r="AE116" i="2"/>
  <c r="Z57" i="4"/>
  <c r="AH57" i="4"/>
  <c r="AD57" i="4"/>
  <c r="AE30" i="2"/>
  <c r="AE32" i="2"/>
  <c r="Z65" i="4"/>
  <c r="AD65" i="4"/>
  <c r="AH65" i="4"/>
  <c r="Z67" i="4"/>
  <c r="AD67" i="4"/>
  <c r="AH67" i="4"/>
  <c r="AE66" i="2"/>
  <c r="AH53" i="4"/>
  <c r="Z53" i="4"/>
  <c r="AD53" i="4"/>
  <c r="AE37" i="2"/>
  <c r="Z80" i="4"/>
  <c r="AD80" i="4"/>
  <c r="AH80" i="4"/>
  <c r="AE71" i="2"/>
  <c r="AD64" i="4"/>
  <c r="AH64" i="4"/>
  <c r="AE78" i="2"/>
  <c r="Z64" i="4"/>
  <c r="Z49" i="4"/>
  <c r="AD49" i="4"/>
  <c r="AH49" i="4"/>
  <c r="AE40" i="2"/>
  <c r="Z48" i="4"/>
  <c r="AD48" i="4"/>
  <c r="AH48" i="4"/>
  <c r="AE39" i="2"/>
  <c r="Z197" i="4"/>
  <c r="AD197" i="4"/>
  <c r="AH197" i="4"/>
  <c r="AE197" i="2"/>
  <c r="AD6" i="4"/>
  <c r="AH6" i="4"/>
  <c r="W201" i="4"/>
  <c r="AE5" i="2"/>
  <c r="Z59" i="4"/>
  <c r="AE68" i="2"/>
  <c r="AH59" i="4"/>
  <c r="AD59" i="4"/>
  <c r="Z160" i="4"/>
  <c r="AD160" i="4"/>
  <c r="AH160" i="4"/>
  <c r="AE126" i="2"/>
  <c r="Z162" i="4"/>
  <c r="AD162" i="4"/>
  <c r="AH162" i="4"/>
  <c r="AE132" i="2"/>
  <c r="Z138" i="4"/>
  <c r="AD138" i="4"/>
  <c r="AH138" i="4"/>
  <c r="AE160" i="2"/>
  <c r="AE118" i="2"/>
  <c r="Z104" i="4"/>
  <c r="AD104" i="4"/>
  <c r="AH104" i="4"/>
  <c r="Z137" i="4"/>
  <c r="AD137" i="4"/>
  <c r="AH137" i="4"/>
  <c r="AE159" i="2"/>
  <c r="AE119" i="2"/>
  <c r="Z108" i="4"/>
  <c r="AD108" i="4"/>
  <c r="AH108" i="4"/>
  <c r="AH187" i="4"/>
  <c r="Z187" i="4"/>
  <c r="AE174" i="2"/>
  <c r="AD187" i="4"/>
  <c r="AD186" i="4"/>
  <c r="Z186" i="4"/>
  <c r="AH186" i="4"/>
  <c r="AE173" i="2"/>
  <c r="Z126" i="4"/>
  <c r="AD126" i="4"/>
  <c r="AH126" i="4"/>
  <c r="AE82" i="2"/>
  <c r="AE130" i="2"/>
  <c r="Z112" i="4"/>
  <c r="AD112" i="4"/>
  <c r="AH112" i="4"/>
  <c r="Z127" i="4"/>
  <c r="AD127" i="4"/>
  <c r="AH127" i="4"/>
  <c r="AE166" i="2"/>
  <c r="Z25" i="4"/>
  <c r="AD25" i="4"/>
  <c r="AH25" i="4"/>
  <c r="AE42" i="2"/>
  <c r="Z103" i="4"/>
  <c r="AD103" i="4"/>
  <c r="AH103" i="4"/>
  <c r="AE129" i="2"/>
  <c r="AH168" i="4"/>
  <c r="AE141" i="2"/>
  <c r="Z168" i="4"/>
  <c r="AD168" i="4"/>
  <c r="Z193" i="4"/>
  <c r="AD193" i="4"/>
  <c r="AH193" i="4"/>
  <c r="AE190" i="2"/>
  <c r="AH195" i="4"/>
  <c r="AE198" i="2"/>
  <c r="Z195" i="4"/>
  <c r="AD195" i="4"/>
  <c r="AE134" i="2"/>
  <c r="Z173" i="4"/>
  <c r="AD173" i="4"/>
  <c r="AH173" i="4"/>
  <c r="Z51" i="4"/>
  <c r="AD51" i="4"/>
  <c r="AH51" i="4"/>
  <c r="AE57" i="2"/>
  <c r="AH50" i="4"/>
  <c r="AE56" i="2"/>
  <c r="Z50" i="4"/>
  <c r="AD50" i="4"/>
  <c r="Z163" i="4"/>
  <c r="AD163" i="4"/>
  <c r="AH163" i="4"/>
  <c r="AE133" i="2"/>
  <c r="AE158" i="2"/>
  <c r="AH176" i="4"/>
  <c r="Z176" i="4"/>
  <c r="AD176" i="4"/>
  <c r="Z79" i="4"/>
  <c r="AD79" i="4"/>
  <c r="AH79" i="4"/>
  <c r="AE99" i="2"/>
  <c r="AH88" i="4"/>
  <c r="Z88" i="4"/>
  <c r="AD88" i="4"/>
  <c r="AE102" i="2"/>
  <c r="Z183" i="4"/>
  <c r="AD183" i="4"/>
  <c r="AH183" i="4"/>
  <c r="AE170" i="2"/>
  <c r="AE47" i="2"/>
  <c r="Z52" i="4"/>
  <c r="AD52" i="4"/>
  <c r="AH52" i="4"/>
  <c r="AD93" i="4"/>
  <c r="AH93" i="4"/>
  <c r="AE93" i="2"/>
  <c r="Z93" i="4"/>
  <c r="Z31" i="4"/>
  <c r="AD31" i="4"/>
  <c r="AH31" i="4"/>
  <c r="AE22" i="2"/>
  <c r="Z7" i="4"/>
  <c r="AD7" i="4"/>
  <c r="AH7" i="4"/>
  <c r="AE8" i="2"/>
  <c r="Z12" i="4"/>
  <c r="AD12" i="4"/>
  <c r="AH12" i="4"/>
  <c r="AE16" i="2"/>
  <c r="Z27" i="4"/>
  <c r="AD27" i="4"/>
  <c r="AH27" i="4"/>
  <c r="AE33" i="2"/>
  <c r="Z107" i="4"/>
  <c r="AD107" i="4"/>
  <c r="AH107" i="4"/>
  <c r="AE108" i="2"/>
  <c r="AE107" i="2"/>
  <c r="AD106" i="4"/>
  <c r="AH106" i="4"/>
  <c r="Z106" i="4"/>
  <c r="Z87" i="4"/>
  <c r="AD87" i="4"/>
  <c r="AH87" i="4"/>
  <c r="AE77" i="2"/>
  <c r="AE111" i="2"/>
  <c r="AD97" i="4"/>
  <c r="Z97" i="4"/>
  <c r="AH97" i="4"/>
  <c r="Z78" i="4"/>
  <c r="AD78" i="4"/>
  <c r="AH78" i="4"/>
  <c r="AE97" i="2"/>
  <c r="Z90" i="4"/>
  <c r="AD90" i="4"/>
  <c r="AH90" i="4"/>
  <c r="AE72" i="2"/>
  <c r="AH122" i="4"/>
  <c r="AE162" i="2"/>
  <c r="Z122" i="4"/>
  <c r="AD122" i="4"/>
  <c r="AD95" i="4"/>
  <c r="AH95" i="4"/>
  <c r="Z95" i="4"/>
  <c r="AE110" i="2"/>
  <c r="Z74" i="4"/>
  <c r="AD74" i="4"/>
  <c r="AE60" i="2"/>
  <c r="AH74" i="4"/>
  <c r="AD188" i="4"/>
  <c r="AH188" i="4"/>
  <c r="AE178" i="2"/>
  <c r="Z188" i="4"/>
  <c r="Z130" i="4"/>
  <c r="AD130" i="4"/>
  <c r="AH130" i="4"/>
  <c r="AE153" i="2"/>
  <c r="Z179" i="4"/>
  <c r="AE135" i="2"/>
  <c r="AD179" i="4"/>
  <c r="AH179" i="4"/>
  <c r="AD91" i="4"/>
  <c r="AH91" i="4"/>
  <c r="AE104" i="2"/>
  <c r="Z91" i="4"/>
  <c r="AE81" i="2"/>
  <c r="Z73" i="4"/>
  <c r="AD73" i="4"/>
  <c r="AH73" i="4"/>
  <c r="Z24" i="4"/>
  <c r="AD24" i="4"/>
  <c r="AH24" i="4"/>
  <c r="AE18" i="2"/>
  <c r="Z28" i="4"/>
  <c r="AD28" i="4"/>
  <c r="AH28" i="4"/>
  <c r="AE25" i="2"/>
  <c r="AD63" i="4"/>
  <c r="AH63" i="4"/>
  <c r="Z63" i="4"/>
  <c r="AE48" i="2"/>
  <c r="AE36" i="2"/>
  <c r="Z42" i="4"/>
  <c r="AD42" i="4"/>
  <c r="AH42" i="4"/>
  <c r="Z62" i="4"/>
  <c r="AD62" i="4"/>
  <c r="AH62" i="4"/>
  <c r="AE63" i="2"/>
  <c r="AD85" i="4"/>
  <c r="AH85" i="4"/>
  <c r="Z85" i="4"/>
  <c r="AE86" i="2"/>
  <c r="AE43" i="2"/>
  <c r="Z61" i="4"/>
  <c r="AD61" i="4"/>
  <c r="AH61" i="4"/>
  <c r="AE53" i="2"/>
  <c r="Z47" i="4"/>
  <c r="AD47" i="4"/>
  <c r="AH47" i="4"/>
  <c r="Z10" i="4"/>
  <c r="AD10" i="4"/>
  <c r="AH10" i="4"/>
  <c r="AE7" i="2"/>
  <c r="Z134" i="4"/>
  <c r="AD134" i="4"/>
  <c r="AH134" i="4"/>
  <c r="AE165" i="2"/>
  <c r="Z165" i="4"/>
  <c r="AD165" i="4"/>
  <c r="AH165" i="4"/>
  <c r="AE147" i="2"/>
  <c r="AH102" i="4"/>
  <c r="AE101" i="2"/>
  <c r="Z102" i="4"/>
  <c r="AD102" i="4"/>
  <c r="Z9" i="4"/>
  <c r="AD9" i="4"/>
  <c r="AH9" i="4"/>
  <c r="AE6" i="2"/>
  <c r="Z58" i="4"/>
  <c r="AH58" i="4"/>
  <c r="AE41" i="2"/>
  <c r="AD58" i="4"/>
  <c r="Z23" i="4"/>
  <c r="AD23" i="4"/>
  <c r="AH23" i="4"/>
  <c r="AE24" i="2"/>
  <c r="AC14" i="4"/>
  <c r="AC154" i="4"/>
  <c r="AC135" i="4"/>
  <c r="AC153" i="4"/>
  <c r="AC152" i="4"/>
  <c r="AC151" i="4"/>
  <c r="AC12" i="4"/>
  <c r="AC134" i="4"/>
  <c r="AC150" i="4"/>
  <c r="AC133" i="4"/>
  <c r="AC149" i="4"/>
  <c r="AC10" i="4"/>
  <c r="AC7" i="4"/>
  <c r="AC148" i="4"/>
  <c r="AC6" i="4"/>
  <c r="AC35" i="4"/>
  <c r="AC130" i="4"/>
  <c r="AC147" i="4"/>
  <c r="AC129" i="4"/>
  <c r="AC146" i="4"/>
  <c r="AC128" i="4"/>
  <c r="AC127" i="4"/>
  <c r="AC145" i="4"/>
  <c r="AC40" i="4"/>
  <c r="AC39" i="4"/>
  <c r="AC38" i="4"/>
  <c r="AC144" i="4"/>
  <c r="AC37" i="4"/>
  <c r="AC36" i="4"/>
  <c r="AC34" i="4"/>
  <c r="AC143" i="4"/>
  <c r="AC33" i="4"/>
  <c r="AC32" i="4"/>
  <c r="AC31" i="4"/>
  <c r="AC142" i="4"/>
  <c r="AC30" i="4"/>
  <c r="AC29" i="4"/>
  <c r="AC28" i="4"/>
  <c r="AC141" i="4"/>
  <c r="AC24" i="4"/>
  <c r="AC140" i="4"/>
  <c r="AC21" i="4"/>
  <c r="AC19" i="4"/>
  <c r="AC139" i="4"/>
  <c r="AC156" i="4"/>
  <c r="AC17" i="4"/>
  <c r="AC138" i="4"/>
  <c r="AC137" i="4"/>
  <c r="AC155" i="4"/>
  <c r="AC136" i="4"/>
  <c r="AC16" i="4"/>
  <c r="AH200" i="4"/>
  <c r="AD200" i="4"/>
  <c r="AE191" i="2"/>
  <c r="Z200" i="4"/>
  <c r="AH199" i="4"/>
  <c r="AD199" i="4"/>
  <c r="Z199" i="4"/>
  <c r="AE199" i="2"/>
  <c r="AD198" i="4"/>
  <c r="AH198" i="4"/>
  <c r="Z198" i="4"/>
  <c r="AE189" i="2"/>
  <c r="AD196" i="4"/>
  <c r="Z196" i="4"/>
  <c r="AH196" i="4"/>
  <c r="AE175" i="2"/>
  <c r="AE196" i="2"/>
  <c r="AD194" i="4"/>
  <c r="AH194" i="4"/>
  <c r="Z194" i="4"/>
  <c r="AE161" i="2"/>
  <c r="AH192" i="4"/>
  <c r="AD192" i="4"/>
  <c r="Z192" i="4"/>
  <c r="AH191" i="4"/>
  <c r="AD191" i="4"/>
  <c r="AE157" i="2"/>
  <c r="Z191" i="4"/>
  <c r="AE146" i="2"/>
  <c r="AD190" i="4"/>
  <c r="Z190" i="4"/>
  <c r="AH190" i="4"/>
  <c r="AE151" i="2"/>
  <c r="Z185" i="4"/>
  <c r="AD185" i="4"/>
  <c r="AH185" i="4"/>
  <c r="AE184" i="2"/>
  <c r="AD184" i="4"/>
  <c r="Z184" i="4"/>
  <c r="AH184" i="4"/>
  <c r="AE164" i="2"/>
  <c r="Z182" i="4"/>
  <c r="AD182" i="4"/>
  <c r="AH182" i="4"/>
  <c r="AD181" i="4"/>
  <c r="Z181" i="4"/>
  <c r="AH181" i="4"/>
  <c r="AE168" i="2"/>
  <c r="AD180" i="4"/>
  <c r="AH180" i="4"/>
  <c r="Z180" i="4"/>
  <c r="AE138" i="2"/>
  <c r="Z177" i="4"/>
  <c r="AD177" i="4"/>
  <c r="AH177" i="4"/>
  <c r="AE155" i="2"/>
  <c r="Z172" i="4"/>
  <c r="AD172" i="4"/>
  <c r="AH172" i="4"/>
  <c r="AE92" i="2"/>
  <c r="AD171" i="4"/>
  <c r="AE143" i="2"/>
  <c r="AH171" i="4"/>
  <c r="Z171" i="4"/>
  <c r="AH170" i="4"/>
  <c r="Z170" i="4"/>
  <c r="AD170" i="4"/>
  <c r="AE105" i="2"/>
  <c r="AE103" i="2"/>
  <c r="Z169" i="4"/>
  <c r="AD169" i="4"/>
  <c r="AH169" i="4"/>
  <c r="Z167" i="4"/>
  <c r="AH167" i="4"/>
  <c r="AD167" i="4"/>
  <c r="AE128" i="2"/>
  <c r="AH161" i="4"/>
  <c r="Z161" i="4"/>
  <c r="AE91" i="2"/>
  <c r="AD161" i="4"/>
  <c r="Y157" i="4"/>
  <c r="AG74" i="2" s="1"/>
  <c r="O74" i="2" s="1"/>
  <c r="V157" i="4"/>
  <c r="V201" i="4" s="1"/>
  <c r="AE194" i="2"/>
  <c r="Z156" i="4"/>
  <c r="AD156" i="4"/>
  <c r="AH156" i="4"/>
  <c r="AD155" i="4"/>
  <c r="Z155" i="4"/>
  <c r="AH155" i="4"/>
  <c r="AE193" i="2"/>
  <c r="AE195" i="2"/>
  <c r="AH154" i="4"/>
  <c r="AD154" i="4"/>
  <c r="Z154" i="4"/>
  <c r="AE182" i="2"/>
  <c r="Z150" i="4"/>
  <c r="AH150" i="4"/>
  <c r="AD150" i="4"/>
  <c r="AE179" i="2"/>
  <c r="Z148" i="4"/>
  <c r="AD148" i="4"/>
  <c r="AH148" i="4"/>
  <c r="AE192" i="2"/>
  <c r="Z147" i="4"/>
  <c r="AD147" i="4"/>
  <c r="AH147" i="4"/>
  <c r="AD145" i="4"/>
  <c r="Z145" i="4"/>
  <c r="AE185" i="2"/>
  <c r="AH145" i="4"/>
  <c r="AH144" i="4"/>
  <c r="AD144" i="4"/>
  <c r="AE176" i="2"/>
  <c r="Z144" i="4"/>
  <c r="AH143" i="4"/>
  <c r="Z143" i="4"/>
  <c r="AD143" i="4"/>
  <c r="AE177" i="2"/>
  <c r="AE183" i="2"/>
  <c r="AD142" i="4"/>
  <c r="AH142" i="4"/>
  <c r="Z142" i="4"/>
  <c r="AE171" i="2"/>
  <c r="Z141" i="4"/>
  <c r="AD141" i="4"/>
  <c r="AH141" i="4"/>
  <c r="Z139" i="4"/>
  <c r="AD139" i="4"/>
  <c r="AH139" i="4"/>
  <c r="AE163" i="2"/>
  <c r="Z135" i="4"/>
  <c r="AD135" i="4"/>
  <c r="AE137" i="2"/>
  <c r="AH135" i="4"/>
  <c r="AE113" i="2"/>
  <c r="AH132" i="4"/>
  <c r="AD132" i="4"/>
  <c r="Z132" i="4"/>
  <c r="AE112" i="2"/>
  <c r="AD131" i="4"/>
  <c r="Z131" i="4"/>
  <c r="AH131" i="4"/>
  <c r="AH125" i="4"/>
  <c r="AD125" i="4"/>
  <c r="Z125" i="4"/>
  <c r="AE61" i="2"/>
  <c r="Z123" i="4"/>
  <c r="AE148" i="2"/>
  <c r="AH123" i="4"/>
  <c r="AD123" i="4"/>
  <c r="Z121" i="4"/>
  <c r="AH121" i="4"/>
  <c r="AD121" i="4"/>
  <c r="AE154" i="2"/>
  <c r="Z120" i="4"/>
  <c r="AD120" i="4"/>
  <c r="AH120" i="4"/>
  <c r="AE140" i="2"/>
  <c r="AE122" i="2"/>
  <c r="Z119" i="4"/>
  <c r="AH119" i="4"/>
  <c r="AD119" i="4"/>
  <c r="AH118" i="4"/>
  <c r="AD118" i="4"/>
  <c r="Z118" i="4"/>
  <c r="AE150" i="2"/>
  <c r="AD115" i="4"/>
  <c r="AH115" i="4"/>
  <c r="AE139" i="2"/>
  <c r="Z115" i="4"/>
  <c r="AE89" i="2"/>
  <c r="AD113" i="4"/>
  <c r="AH113" i="4"/>
  <c r="Z113" i="4"/>
  <c r="AH111" i="4"/>
  <c r="AE114" i="2"/>
  <c r="AD111" i="4"/>
  <c r="Z111" i="4"/>
  <c r="AE87" i="2"/>
  <c r="AH105" i="4"/>
  <c r="AD105" i="4"/>
  <c r="Z105" i="4"/>
  <c r="AH100" i="4"/>
  <c r="AD100" i="4"/>
  <c r="Z100" i="4"/>
  <c r="AE83" i="2"/>
  <c r="Z99" i="4"/>
  <c r="AH99" i="4"/>
  <c r="AE65" i="2"/>
  <c r="AD99" i="4"/>
  <c r="AE121" i="2"/>
  <c r="AD98" i="4"/>
  <c r="Z98" i="4"/>
  <c r="AH98" i="4"/>
  <c r="AE90" i="2"/>
  <c r="AH94" i="4"/>
  <c r="Z94" i="4"/>
  <c r="AD94" i="4"/>
  <c r="AE109" i="2"/>
  <c r="Z86" i="4"/>
  <c r="AD86" i="4"/>
  <c r="AH86" i="4"/>
  <c r="AD81" i="4"/>
  <c r="AH81" i="4"/>
  <c r="AE80" i="2"/>
  <c r="Z81" i="4"/>
  <c r="Z77" i="4"/>
  <c r="AE85" i="2"/>
  <c r="AH77" i="4"/>
  <c r="AD77" i="4"/>
  <c r="AE64" i="2"/>
  <c r="Z76" i="4"/>
  <c r="AD76" i="4"/>
  <c r="AH76" i="4"/>
  <c r="Z72" i="4"/>
  <c r="AE84" i="2"/>
  <c r="AH72" i="4"/>
  <c r="AD72" i="4"/>
  <c r="Z71" i="4"/>
  <c r="AE69" i="2"/>
  <c r="AD71" i="4"/>
  <c r="AH71" i="4"/>
  <c r="AE88" i="2"/>
  <c r="AD70" i="4"/>
  <c r="AH70" i="4"/>
  <c r="Z70" i="4"/>
  <c r="Z55" i="4"/>
  <c r="AH55" i="4"/>
  <c r="AE55" i="2"/>
  <c r="AD55" i="4"/>
  <c r="AD46" i="4"/>
  <c r="Z46" i="4"/>
  <c r="AH46" i="4"/>
  <c r="AE75" i="2"/>
  <c r="Y201" i="4"/>
  <c r="AG23" i="2"/>
  <c r="O23" i="2" s="1"/>
  <c r="AF23" i="2"/>
  <c r="N23" i="2" s="1"/>
  <c r="X201" i="4"/>
  <c r="AH39" i="4"/>
  <c r="AD39" i="4"/>
  <c r="Z39" i="4"/>
  <c r="AD37" i="4"/>
  <c r="AH37" i="4"/>
  <c r="Z37" i="4"/>
  <c r="AD36" i="4"/>
  <c r="AH36" i="4"/>
  <c r="Z36" i="4"/>
  <c r="Z30" i="4"/>
  <c r="AH30" i="4"/>
  <c r="AD30" i="4"/>
  <c r="AH22" i="4"/>
  <c r="Z22" i="4"/>
  <c r="AD22" i="4"/>
  <c r="AH21" i="4"/>
  <c r="AD21" i="4"/>
  <c r="Z21" i="4"/>
  <c r="AD8" i="4"/>
  <c r="AH8" i="4"/>
  <c r="Z8" i="4"/>
  <c r="O34" i="2"/>
  <c r="O9" i="2"/>
  <c r="O38" i="2"/>
  <c r="O12" i="2"/>
  <c r="O14" i="2"/>
  <c r="O51" i="2"/>
  <c r="O49" i="2"/>
  <c r="O44" i="2"/>
  <c r="O33" i="2"/>
  <c r="O27" i="2"/>
  <c r="O31" i="2"/>
  <c r="O22" i="2"/>
  <c r="O42" i="2"/>
  <c r="O28" i="2"/>
  <c r="O18" i="2"/>
  <c r="O54" i="2"/>
  <c r="O25" i="2"/>
  <c r="O29" i="2"/>
  <c r="O24" i="2"/>
  <c r="O45" i="2"/>
  <c r="O20" i="2"/>
  <c r="O21" i="2"/>
  <c r="O50" i="2"/>
  <c r="O26" i="2"/>
  <c r="N31" i="2"/>
  <c r="N26" i="2"/>
  <c r="N25" i="2"/>
  <c r="N33" i="2"/>
  <c r="N27" i="2"/>
  <c r="N42" i="2"/>
  <c r="N18" i="2"/>
  <c r="N24" i="2"/>
  <c r="N45" i="2"/>
  <c r="N21" i="2"/>
  <c r="N34" i="2"/>
  <c r="N9" i="2"/>
  <c r="N12" i="2"/>
  <c r="N14" i="2"/>
  <c r="N54" i="2"/>
  <c r="N44" i="2"/>
  <c r="N49" i="2"/>
  <c r="N51" i="2"/>
  <c r="N50" i="2"/>
  <c r="N38" i="2"/>
  <c r="N20" i="2"/>
  <c r="N29" i="2"/>
  <c r="N28" i="2"/>
  <c r="N22" i="2"/>
  <c r="M50" i="2"/>
  <c r="P50" i="2" s="1"/>
  <c r="M51" i="2"/>
  <c r="P51" i="2" s="1"/>
  <c r="M31" i="2"/>
  <c r="P31" i="2" s="1"/>
  <c r="M45" i="2"/>
  <c r="P45" i="2" s="1"/>
  <c r="M44" i="2"/>
  <c r="P44" i="2" s="1"/>
  <c r="M21" i="2"/>
  <c r="P21" i="2" s="1"/>
  <c r="C11" i="10"/>
  <c r="F11" i="10" s="1"/>
  <c r="Q419" i="9" s="1"/>
  <c r="C12" i="10"/>
  <c r="F12" i="10" s="1"/>
  <c r="C13" i="10"/>
  <c r="F13" i="10" s="1"/>
  <c r="C14" i="10"/>
  <c r="F14" i="10" s="1"/>
  <c r="C15" i="10"/>
  <c r="F15" i="10" s="1"/>
  <c r="C16" i="10"/>
  <c r="F16" i="10" s="1"/>
  <c r="C17" i="10"/>
  <c r="F17" i="10" s="1"/>
  <c r="C18" i="10"/>
  <c r="F18" i="10" s="1"/>
  <c r="C19" i="10"/>
  <c r="F19" i="10" s="1"/>
  <c r="C20" i="10"/>
  <c r="F20" i="10" s="1"/>
  <c r="C21" i="10"/>
  <c r="F21" i="10" s="1"/>
  <c r="C22" i="10"/>
  <c r="F22" i="10" s="1"/>
  <c r="C23" i="10"/>
  <c r="F23" i="10" s="1"/>
  <c r="Q488" i="9" s="1"/>
  <c r="C24" i="10"/>
  <c r="F24" i="10" s="1"/>
  <c r="Q405" i="9" s="1"/>
  <c r="K200" i="2" l="1"/>
  <c r="B25" i="1"/>
  <c r="B6" i="1"/>
  <c r="P105" i="9"/>
  <c r="R105" i="9" s="1"/>
  <c r="S105" i="9" s="1"/>
  <c r="N25" i="8" s="1"/>
  <c r="P164" i="9"/>
  <c r="R164" i="9" s="1"/>
  <c r="S164" i="9" s="1"/>
  <c r="P165" i="9"/>
  <c r="R165" i="9" s="1"/>
  <c r="S165" i="9" s="1"/>
  <c r="P203" i="9"/>
  <c r="P205" i="9"/>
  <c r="P206" i="9"/>
  <c r="P208" i="9"/>
  <c r="P220" i="9"/>
  <c r="P221" i="9"/>
  <c r="P267" i="9"/>
  <c r="P295" i="9"/>
  <c r="P310" i="9"/>
  <c r="P236" i="9"/>
  <c r="P237" i="9"/>
  <c r="P63" i="9"/>
  <c r="R63" i="9" s="1"/>
  <c r="S63" i="9" s="1"/>
  <c r="P64" i="9"/>
  <c r="R64" i="9" s="1"/>
  <c r="S64" i="9" s="1"/>
  <c r="P70" i="9"/>
  <c r="R70" i="9" s="1"/>
  <c r="S70" i="9" s="1"/>
  <c r="P90" i="9"/>
  <c r="R90" i="9" s="1"/>
  <c r="S90" i="9" s="1"/>
  <c r="P92" i="9"/>
  <c r="R92" i="9" s="1"/>
  <c r="S92" i="9" s="1"/>
  <c r="P94" i="9"/>
  <c r="R94" i="9" s="1"/>
  <c r="S94" i="9" s="1"/>
  <c r="P126" i="9"/>
  <c r="P132" i="9"/>
  <c r="P133" i="9"/>
  <c r="P138" i="9"/>
  <c r="R138" i="9" s="1"/>
  <c r="S138" i="9" s="1"/>
  <c r="N36" i="8" s="1"/>
  <c r="P139" i="9"/>
  <c r="R139" i="9" s="1"/>
  <c r="S139" i="9" s="1"/>
  <c r="N37" i="8" s="1"/>
  <c r="P162" i="9"/>
  <c r="R162" i="9" s="1"/>
  <c r="S162" i="9" s="1"/>
  <c r="N42" i="8" s="1"/>
  <c r="P163" i="9"/>
  <c r="R163" i="9" s="1"/>
  <c r="S163" i="9" s="1"/>
  <c r="N43" i="8" s="1"/>
  <c r="P528" i="9"/>
  <c r="R528" i="9" s="1"/>
  <c r="S528" i="9" s="1"/>
  <c r="P59" i="9"/>
  <c r="R59" i="9" s="1"/>
  <c r="S59" i="9" s="1"/>
  <c r="P75" i="9"/>
  <c r="R75" i="9" s="1"/>
  <c r="S75" i="9" s="1"/>
  <c r="P78" i="9"/>
  <c r="R78" i="9" s="1"/>
  <c r="S78" i="9" s="1"/>
  <c r="P80" i="9"/>
  <c r="R80" i="9" s="1"/>
  <c r="S80" i="9" s="1"/>
  <c r="P84" i="9"/>
  <c r="R84" i="9" s="1"/>
  <c r="S84" i="9" s="1"/>
  <c r="P14" i="9"/>
  <c r="R14" i="9" s="1"/>
  <c r="S14" i="9" s="1"/>
  <c r="P28" i="9"/>
  <c r="R28" i="9" s="1"/>
  <c r="S28" i="9" s="1"/>
  <c r="P31" i="9"/>
  <c r="R31" i="9" s="1"/>
  <c r="S31" i="9" s="1"/>
  <c r="P91" i="9"/>
  <c r="R91" i="9" s="1"/>
  <c r="S91" i="9" s="1"/>
  <c r="P93" i="9"/>
  <c r="R93" i="9" s="1"/>
  <c r="S93" i="9" s="1"/>
  <c r="P95" i="9"/>
  <c r="R95" i="9" s="1"/>
  <c r="S95" i="9" s="1"/>
  <c r="P159" i="9"/>
  <c r="R159" i="9" s="1"/>
  <c r="S159" i="9" s="1"/>
  <c r="P166" i="9"/>
  <c r="R166" i="9" s="1"/>
  <c r="S166" i="9" s="1"/>
  <c r="P170" i="9"/>
  <c r="R170" i="9" s="1"/>
  <c r="S170" i="9" s="1"/>
  <c r="P204" i="9"/>
  <c r="R204" i="9" s="1"/>
  <c r="S204" i="9" s="1"/>
  <c r="N53" i="8" s="1"/>
  <c r="P207" i="9"/>
  <c r="R207" i="9" s="1"/>
  <c r="S207" i="9" s="1"/>
  <c r="N54" i="8" s="1"/>
  <c r="P19" i="9"/>
  <c r="R19" i="9" s="1"/>
  <c r="S19" i="9" s="1"/>
  <c r="P222" i="9"/>
  <c r="R222" i="9" s="1"/>
  <c r="S222" i="9" s="1"/>
  <c r="N58" i="8" s="1"/>
  <c r="P244" i="9"/>
  <c r="R244" i="9" s="1"/>
  <c r="S244" i="9" s="1"/>
  <c r="P276" i="9"/>
  <c r="R276" i="9" s="1"/>
  <c r="S276" i="9" s="1"/>
  <c r="N73" i="8" s="1"/>
  <c r="P292" i="9"/>
  <c r="R292" i="9" s="1"/>
  <c r="S292" i="9" s="1"/>
  <c r="P293" i="9"/>
  <c r="R293" i="9" s="1"/>
  <c r="S293" i="9" s="1"/>
  <c r="P315" i="9"/>
  <c r="P316" i="9"/>
  <c r="P322" i="9"/>
  <c r="R322" i="9" s="1"/>
  <c r="S322" i="9" s="1"/>
  <c r="P328" i="9"/>
  <c r="R328" i="9" s="1"/>
  <c r="S328" i="9" s="1"/>
  <c r="P330" i="9"/>
  <c r="R330" i="9" s="1"/>
  <c r="S330" i="9" s="1"/>
  <c r="N97" i="8" s="1"/>
  <c r="P331" i="9"/>
  <c r="R331" i="9" s="1"/>
  <c r="S331" i="9" s="1"/>
  <c r="P457" i="9"/>
  <c r="R457" i="9" s="1"/>
  <c r="S457" i="9" s="1"/>
  <c r="N160" i="8" s="1"/>
  <c r="P493" i="9"/>
  <c r="R493" i="9" s="1"/>
  <c r="S493" i="9" s="1"/>
  <c r="N176" i="8" s="1"/>
  <c r="P65" i="9"/>
  <c r="R65" i="9" s="1"/>
  <c r="S65" i="9" s="1"/>
  <c r="P71" i="9"/>
  <c r="R71" i="9" s="1"/>
  <c r="S71" i="9" s="1"/>
  <c r="P74" i="9"/>
  <c r="R74" i="9" s="1"/>
  <c r="S74" i="9" s="1"/>
  <c r="P77" i="9"/>
  <c r="R77" i="9" s="1"/>
  <c r="S77" i="9" s="1"/>
  <c r="N16" i="8" s="1"/>
  <c r="P82" i="9"/>
  <c r="R82" i="9" s="1"/>
  <c r="S82" i="9" s="1"/>
  <c r="P83" i="9"/>
  <c r="R83" i="9" s="1"/>
  <c r="S83" i="9" s="1"/>
  <c r="N18" i="8" s="1"/>
  <c r="P99" i="9"/>
  <c r="R99" i="9" s="1"/>
  <c r="S99" i="9" s="1"/>
  <c r="P107" i="9"/>
  <c r="R107" i="9" s="1"/>
  <c r="S107" i="9" s="1"/>
  <c r="P120" i="9"/>
  <c r="R120" i="9" s="1"/>
  <c r="S120" i="9" s="1"/>
  <c r="P154" i="9"/>
  <c r="R154" i="9" s="1"/>
  <c r="S154" i="9" s="1"/>
  <c r="N40" i="8" s="1"/>
  <c r="P155" i="9"/>
  <c r="R155" i="9" s="1"/>
  <c r="S155" i="9" s="1"/>
  <c r="P177" i="9"/>
  <c r="R177" i="9" s="1"/>
  <c r="S177" i="9" s="1"/>
  <c r="P179" i="9"/>
  <c r="R179" i="9" s="1"/>
  <c r="S179" i="9" s="1"/>
  <c r="P184" i="9"/>
  <c r="R184" i="9" s="1"/>
  <c r="S184" i="9" s="1"/>
  <c r="P186" i="9"/>
  <c r="R186" i="9" s="1"/>
  <c r="S186" i="9" s="1"/>
  <c r="P7" i="9"/>
  <c r="R7" i="9" s="1"/>
  <c r="S7" i="9" s="1"/>
  <c r="P86" i="9"/>
  <c r="R86" i="9" s="1"/>
  <c r="S86" i="9" s="1"/>
  <c r="P223" i="9"/>
  <c r="R223" i="9" s="1"/>
  <c r="S223" i="9" s="1"/>
  <c r="N59" i="8" s="1"/>
  <c r="P224" i="9"/>
  <c r="R224" i="9" s="1"/>
  <c r="S224" i="9" s="1"/>
  <c r="P234" i="9"/>
  <c r="R234" i="9" s="1"/>
  <c r="S234" i="9" s="1"/>
  <c r="P235" i="9"/>
  <c r="R235" i="9" s="1"/>
  <c r="S235" i="9" s="1"/>
  <c r="P245" i="9"/>
  <c r="R245" i="9" s="1"/>
  <c r="S245" i="9" s="1"/>
  <c r="N63" i="8" s="1"/>
  <c r="P247" i="9"/>
  <c r="R247" i="9" s="1"/>
  <c r="S247" i="9" s="1"/>
  <c r="P259" i="9"/>
  <c r="R259" i="9" s="1"/>
  <c r="S259" i="9" s="1"/>
  <c r="P265" i="9"/>
  <c r="R265" i="9" s="1"/>
  <c r="S265" i="9" s="1"/>
  <c r="P271" i="9"/>
  <c r="R271" i="9" s="1"/>
  <c r="S271" i="9" s="1"/>
  <c r="P279" i="9"/>
  <c r="R279" i="9" s="1"/>
  <c r="S279" i="9" s="1"/>
  <c r="P281" i="9"/>
  <c r="R281" i="9" s="1"/>
  <c r="S281" i="9" s="1"/>
  <c r="P323" i="9"/>
  <c r="R323" i="9" s="1"/>
  <c r="S323" i="9" s="1"/>
  <c r="P329" i="9"/>
  <c r="R329" i="9" s="1"/>
  <c r="S329" i="9" s="1"/>
  <c r="P332" i="9"/>
  <c r="R332" i="9" s="1"/>
  <c r="S332" i="9" s="1"/>
  <c r="P333" i="9"/>
  <c r="R333" i="9" s="1"/>
  <c r="S333" i="9" s="1"/>
  <c r="P334" i="9"/>
  <c r="R334" i="9" s="1"/>
  <c r="S334" i="9" s="1"/>
  <c r="P335" i="9"/>
  <c r="R335" i="9" s="1"/>
  <c r="S335" i="9" s="1"/>
  <c r="N99" i="8" s="1"/>
  <c r="P336" i="9"/>
  <c r="R336" i="9" s="1"/>
  <c r="S336" i="9" s="1"/>
  <c r="P337" i="9"/>
  <c r="R337" i="9" s="1"/>
  <c r="S337" i="9" s="1"/>
  <c r="P338" i="9"/>
  <c r="R338" i="9" s="1"/>
  <c r="S338" i="9" s="1"/>
  <c r="P339" i="9"/>
  <c r="R339" i="9" s="1"/>
  <c r="S339" i="9" s="1"/>
  <c r="P342" i="9"/>
  <c r="R342" i="9" s="1"/>
  <c r="S342" i="9" s="1"/>
  <c r="P348" i="9"/>
  <c r="R348" i="9" s="1"/>
  <c r="S348" i="9" s="1"/>
  <c r="P42" i="9"/>
  <c r="R42" i="9" s="1"/>
  <c r="S42" i="9" s="1"/>
  <c r="P350" i="9"/>
  <c r="R350" i="9" s="1"/>
  <c r="S350" i="9" s="1"/>
  <c r="N105" i="8" s="1"/>
  <c r="P353" i="9"/>
  <c r="R353" i="9" s="1"/>
  <c r="S353" i="9" s="1"/>
  <c r="N107" i="8" s="1"/>
  <c r="P354" i="9"/>
  <c r="R354" i="9" s="1"/>
  <c r="S354" i="9" s="1"/>
  <c r="P355" i="9"/>
  <c r="R355" i="9" s="1"/>
  <c r="S355" i="9" s="1"/>
  <c r="N108" i="8" s="1"/>
  <c r="P356" i="9"/>
  <c r="R356" i="9" s="1"/>
  <c r="S356" i="9" s="1"/>
  <c r="P358" i="9"/>
  <c r="R358" i="9" s="1"/>
  <c r="S358" i="9" s="1"/>
  <c r="P362" i="9"/>
  <c r="R362" i="9" s="1"/>
  <c r="S362" i="9" s="1"/>
  <c r="P367" i="9"/>
  <c r="R367" i="9" s="1"/>
  <c r="S367" i="9" s="1"/>
  <c r="N113" i="8" s="1"/>
  <c r="P368" i="9"/>
  <c r="R368" i="9" s="1"/>
  <c r="S368" i="9" s="1"/>
  <c r="P369" i="9"/>
  <c r="R369" i="9" s="1"/>
  <c r="S369" i="9" s="1"/>
  <c r="N114" i="8" s="1"/>
  <c r="P374" i="9"/>
  <c r="R374" i="9" s="1"/>
  <c r="S374" i="9" s="1"/>
  <c r="N117" i="8" s="1"/>
  <c r="P381" i="9"/>
  <c r="R381" i="9" s="1"/>
  <c r="S381" i="9" s="1"/>
  <c r="N121" i="8" s="1"/>
  <c r="P402" i="9"/>
  <c r="R402" i="9" s="1"/>
  <c r="S402" i="9" s="1"/>
  <c r="P410" i="9"/>
  <c r="R410" i="9" s="1"/>
  <c r="S410" i="9" s="1"/>
  <c r="P420" i="9"/>
  <c r="R420" i="9" s="1"/>
  <c r="S420" i="9" s="1"/>
  <c r="P422" i="9"/>
  <c r="R422" i="9" s="1"/>
  <c r="S422" i="9" s="1"/>
  <c r="P453" i="9"/>
  <c r="R453" i="9" s="1"/>
  <c r="S453" i="9" s="1"/>
  <c r="P454" i="9"/>
  <c r="R454" i="9" s="1"/>
  <c r="S454" i="9" s="1"/>
  <c r="P458" i="9"/>
  <c r="R458" i="9" s="1"/>
  <c r="S458" i="9" s="1"/>
  <c r="P489" i="9"/>
  <c r="R489" i="9" s="1"/>
  <c r="S489" i="9" s="1"/>
  <c r="N174" i="8" s="1"/>
  <c r="P511" i="9"/>
  <c r="R511" i="9" s="1"/>
  <c r="S511" i="9" s="1"/>
  <c r="N185" i="8" s="1"/>
  <c r="P541" i="9"/>
  <c r="R541" i="9" s="1"/>
  <c r="S541" i="9" s="1"/>
  <c r="P543" i="9"/>
  <c r="R543" i="9" s="1"/>
  <c r="S543" i="9" s="1"/>
  <c r="N198" i="8" s="1"/>
  <c r="P76" i="9"/>
  <c r="R76" i="9" s="1"/>
  <c r="S76" i="9" s="1"/>
  <c r="P79" i="9"/>
  <c r="R79" i="9" s="1"/>
  <c r="S79" i="9" s="1"/>
  <c r="P81" i="9"/>
  <c r="R81" i="9" s="1"/>
  <c r="S81" i="9" s="1"/>
  <c r="P36" i="9"/>
  <c r="R36" i="9" s="1"/>
  <c r="S36" i="9" s="1"/>
  <c r="P37" i="9"/>
  <c r="R37" i="9" s="1"/>
  <c r="S37" i="9" s="1"/>
  <c r="P85" i="9"/>
  <c r="R85" i="9" s="1"/>
  <c r="S85" i="9" s="1"/>
  <c r="P89" i="9"/>
  <c r="R89" i="9" s="1"/>
  <c r="S89" i="9" s="1"/>
  <c r="P96" i="9"/>
  <c r="R96" i="9" s="1"/>
  <c r="S96" i="9" s="1"/>
  <c r="P97" i="9"/>
  <c r="R97" i="9" s="1"/>
  <c r="S97" i="9" s="1"/>
  <c r="P106" i="9"/>
  <c r="R106" i="9" s="1"/>
  <c r="S106" i="9" s="1"/>
  <c r="P108" i="9"/>
  <c r="R108" i="9" s="1"/>
  <c r="S108" i="9" s="1"/>
  <c r="P109" i="9"/>
  <c r="R109" i="9" s="1"/>
  <c r="S109" i="9" s="1"/>
  <c r="P117" i="9"/>
  <c r="R117" i="9" s="1"/>
  <c r="S117" i="9" s="1"/>
  <c r="P118" i="9"/>
  <c r="R118" i="9" s="1"/>
  <c r="S118" i="9" s="1"/>
  <c r="P119" i="9"/>
  <c r="R119" i="9" s="1"/>
  <c r="S119" i="9" s="1"/>
  <c r="P140" i="9"/>
  <c r="R140" i="9" s="1"/>
  <c r="S140" i="9" s="1"/>
  <c r="P147" i="9"/>
  <c r="R147" i="9" s="1"/>
  <c r="S147" i="9" s="1"/>
  <c r="P178" i="9"/>
  <c r="R178" i="9" s="1"/>
  <c r="S178" i="9" s="1"/>
  <c r="P180" i="9"/>
  <c r="R180" i="9" s="1"/>
  <c r="S180" i="9" s="1"/>
  <c r="P181" i="9"/>
  <c r="R181" i="9" s="1"/>
  <c r="S181" i="9" s="1"/>
  <c r="P182" i="9"/>
  <c r="R182" i="9" s="1"/>
  <c r="S182" i="9" s="1"/>
  <c r="P185" i="9"/>
  <c r="R185" i="9" s="1"/>
  <c r="S185" i="9" s="1"/>
  <c r="P210" i="9"/>
  <c r="R210" i="9" s="1"/>
  <c r="S210" i="9" s="1"/>
  <c r="P238" i="9"/>
  <c r="R238" i="9" s="1"/>
  <c r="S238" i="9" s="1"/>
  <c r="P239" i="9"/>
  <c r="R239" i="9" s="1"/>
  <c r="S239" i="9" s="1"/>
  <c r="P248" i="9"/>
  <c r="R248" i="9" s="1"/>
  <c r="S248" i="9" s="1"/>
  <c r="P249" i="9"/>
  <c r="R249" i="9" s="1"/>
  <c r="S249" i="9" s="1"/>
  <c r="P252" i="9"/>
  <c r="R252" i="9" s="1"/>
  <c r="S252" i="9" s="1"/>
  <c r="P272" i="9"/>
  <c r="R272" i="9" s="1"/>
  <c r="S272" i="9" s="1"/>
  <c r="P273" i="9"/>
  <c r="R273" i="9" s="1"/>
  <c r="S273" i="9" s="1"/>
  <c r="P277" i="9"/>
  <c r="R277" i="9" s="1"/>
  <c r="S277" i="9" s="1"/>
  <c r="P278" i="9"/>
  <c r="R278" i="9" s="1"/>
  <c r="S278" i="9" s="1"/>
  <c r="P286" i="9"/>
  <c r="R286" i="9" s="1"/>
  <c r="S286" i="9" s="1"/>
  <c r="N77" i="8" s="1"/>
  <c r="P294" i="9"/>
  <c r="R294" i="9" s="1"/>
  <c r="S294" i="9" s="1"/>
  <c r="P296" i="9"/>
  <c r="R296" i="9" s="1"/>
  <c r="S296" i="9" s="1"/>
  <c r="P297" i="9"/>
  <c r="R297" i="9" s="1"/>
  <c r="S297" i="9" s="1"/>
  <c r="P304" i="9"/>
  <c r="R304" i="9" s="1"/>
  <c r="S304" i="9" s="1"/>
  <c r="P305" i="9"/>
  <c r="R305" i="9" s="1"/>
  <c r="S305" i="9" s="1"/>
  <c r="P306" i="9"/>
  <c r="R306" i="9" s="1"/>
  <c r="S306" i="9" s="1"/>
  <c r="P307" i="9"/>
  <c r="R307" i="9" s="1"/>
  <c r="S307" i="9" s="1"/>
  <c r="P318" i="9"/>
  <c r="R318" i="9" s="1"/>
  <c r="S318" i="9" s="1"/>
  <c r="P319" i="9"/>
  <c r="R319" i="9" s="1"/>
  <c r="S319" i="9" s="1"/>
  <c r="P351" i="9"/>
  <c r="R351" i="9" s="1"/>
  <c r="S351" i="9" s="1"/>
  <c r="P352" i="9"/>
  <c r="R352" i="9" s="1"/>
  <c r="S352" i="9" s="1"/>
  <c r="P357" i="9"/>
  <c r="R357" i="9" s="1"/>
  <c r="S357" i="9" s="1"/>
  <c r="P377" i="9"/>
  <c r="R377" i="9" s="1"/>
  <c r="S377" i="9" s="1"/>
  <c r="P378" i="9"/>
  <c r="R378" i="9" s="1"/>
  <c r="S378" i="9" s="1"/>
  <c r="P379" i="9"/>
  <c r="R379" i="9" s="1"/>
  <c r="S379" i="9" s="1"/>
  <c r="N120" i="8" s="1"/>
  <c r="P380" i="9"/>
  <c r="R380" i="9" s="1"/>
  <c r="S380" i="9" s="1"/>
  <c r="P385" i="9"/>
  <c r="R385" i="9" s="1"/>
  <c r="S385" i="9" s="1"/>
  <c r="N123" i="8" s="1"/>
  <c r="P386" i="9"/>
  <c r="R386" i="9" s="1"/>
  <c r="S386" i="9" s="1"/>
  <c r="P391" i="9"/>
  <c r="R391" i="9" s="1"/>
  <c r="S391" i="9" s="1"/>
  <c r="N125" i="8" s="1"/>
  <c r="P392" i="9"/>
  <c r="R392" i="9" s="1"/>
  <c r="S392" i="9" s="1"/>
  <c r="P393" i="9"/>
  <c r="R393" i="9" s="1"/>
  <c r="S393" i="9" s="1"/>
  <c r="N126" i="8" s="1"/>
  <c r="P394" i="9"/>
  <c r="R394" i="9" s="1"/>
  <c r="S394" i="9" s="1"/>
  <c r="N127" i="8" s="1"/>
  <c r="P395" i="9"/>
  <c r="R395" i="9" s="1"/>
  <c r="S395" i="9" s="1"/>
  <c r="P406" i="9"/>
  <c r="R406" i="9" s="1"/>
  <c r="S406" i="9" s="1"/>
  <c r="N132" i="8" s="1"/>
  <c r="P409" i="9"/>
  <c r="R409" i="9" s="1"/>
  <c r="S409" i="9" s="1"/>
  <c r="N134" i="8" s="1"/>
  <c r="P412" i="9"/>
  <c r="R412" i="9" s="1"/>
  <c r="S412" i="9" s="1"/>
  <c r="P424" i="9"/>
  <c r="R424" i="9" s="1"/>
  <c r="S424" i="9" s="1"/>
  <c r="N142" i="8" s="1"/>
  <c r="P425" i="9"/>
  <c r="R425" i="9" s="1"/>
  <c r="S425" i="9" s="1"/>
  <c r="P428" i="9"/>
  <c r="R428" i="9" s="1"/>
  <c r="S428" i="9" s="1"/>
  <c r="P436" i="9"/>
  <c r="R436" i="9" s="1"/>
  <c r="S436" i="9" s="1"/>
  <c r="N148" i="8" s="1"/>
  <c r="P439" i="9"/>
  <c r="R439" i="9" s="1"/>
  <c r="S439" i="9" s="1"/>
  <c r="P440" i="9"/>
  <c r="R440" i="9" s="1"/>
  <c r="S440" i="9" s="1"/>
  <c r="P463" i="9"/>
  <c r="R463" i="9" s="1"/>
  <c r="S463" i="9" s="1"/>
  <c r="N163" i="8" s="1"/>
  <c r="P464" i="9"/>
  <c r="R464" i="9" s="1"/>
  <c r="S464" i="9" s="1"/>
  <c r="P494" i="9"/>
  <c r="R494" i="9" s="1"/>
  <c r="S494" i="9" s="1"/>
  <c r="P495" i="9"/>
  <c r="R495" i="9" s="1"/>
  <c r="S495" i="9" s="1"/>
  <c r="P500" i="9"/>
  <c r="R500" i="9" s="1"/>
  <c r="S500" i="9" s="1"/>
  <c r="P501" i="9"/>
  <c r="R501" i="9" s="1"/>
  <c r="S501" i="9" s="1"/>
  <c r="P502" i="9"/>
  <c r="R502" i="9" s="1"/>
  <c r="S502" i="9" s="1"/>
  <c r="N181" i="8" s="1"/>
  <c r="P503" i="9"/>
  <c r="R503" i="9" s="1"/>
  <c r="S503" i="9" s="1"/>
  <c r="P514" i="9"/>
  <c r="R514" i="9" s="1"/>
  <c r="S514" i="9" s="1"/>
  <c r="P516" i="9"/>
  <c r="R516" i="9" s="1"/>
  <c r="S516" i="9" s="1"/>
  <c r="P517" i="9"/>
  <c r="R517" i="9" s="1"/>
  <c r="S517" i="9" s="1"/>
  <c r="P519" i="9"/>
  <c r="R519" i="9" s="1"/>
  <c r="S519" i="9" s="1"/>
  <c r="P523" i="9"/>
  <c r="R523" i="9" s="1"/>
  <c r="S523" i="9" s="1"/>
  <c r="N191" i="8" s="1"/>
  <c r="P13" i="9"/>
  <c r="R13" i="9" s="1"/>
  <c r="S13" i="9" s="1"/>
  <c r="P17" i="9"/>
  <c r="R17" i="9" s="1"/>
  <c r="S17" i="9" s="1"/>
  <c r="P44" i="9"/>
  <c r="R44" i="9" s="1"/>
  <c r="S44" i="9" s="1"/>
  <c r="P53" i="9"/>
  <c r="R53" i="9" s="1"/>
  <c r="S53" i="9" s="1"/>
  <c r="P54" i="9"/>
  <c r="R54" i="9" s="1"/>
  <c r="S54" i="9" s="1"/>
  <c r="P55" i="9"/>
  <c r="R55" i="9" s="1"/>
  <c r="S55" i="9" s="1"/>
  <c r="P56" i="9"/>
  <c r="R56" i="9" s="1"/>
  <c r="S56" i="9" s="1"/>
  <c r="P57" i="9"/>
  <c r="R57" i="9" s="1"/>
  <c r="S57" i="9" s="1"/>
  <c r="P58" i="9"/>
  <c r="R58" i="9" s="1"/>
  <c r="S58" i="9" s="1"/>
  <c r="P9" i="9"/>
  <c r="R9" i="9" s="1"/>
  <c r="S9" i="9" s="1"/>
  <c r="P10" i="9"/>
  <c r="R10" i="9" s="1"/>
  <c r="S10" i="9" s="1"/>
  <c r="P11" i="9"/>
  <c r="R11" i="9" s="1"/>
  <c r="S11" i="9" s="1"/>
  <c r="P15" i="9"/>
  <c r="R15" i="9" s="1"/>
  <c r="S15" i="9" s="1"/>
  <c r="P20" i="9"/>
  <c r="R20" i="9" s="1"/>
  <c r="S20" i="9" s="1"/>
  <c r="P21" i="9"/>
  <c r="R21" i="9" s="1"/>
  <c r="S21" i="9" s="1"/>
  <c r="P24" i="9"/>
  <c r="R24" i="9" s="1"/>
  <c r="S24" i="9" s="1"/>
  <c r="P98" i="9"/>
  <c r="R98" i="9" s="1"/>
  <c r="S98" i="9" s="1"/>
  <c r="P104" i="9"/>
  <c r="R104" i="9" s="1"/>
  <c r="S104" i="9" s="1"/>
  <c r="P114" i="9"/>
  <c r="R114" i="9" s="1"/>
  <c r="S114" i="9" s="1"/>
  <c r="P115" i="9"/>
  <c r="R115" i="9" s="1"/>
  <c r="S115" i="9" s="1"/>
  <c r="P123" i="9"/>
  <c r="R123" i="9" s="1"/>
  <c r="S123" i="9" s="1"/>
  <c r="P124" i="9"/>
  <c r="R124" i="9" s="1"/>
  <c r="S124" i="9" s="1"/>
  <c r="P127" i="9"/>
  <c r="R127" i="9" s="1"/>
  <c r="S127" i="9" s="1"/>
  <c r="P129" i="9"/>
  <c r="R129" i="9" s="1"/>
  <c r="S129" i="9" s="1"/>
  <c r="P130" i="9"/>
  <c r="R130" i="9" s="1"/>
  <c r="S130" i="9" s="1"/>
  <c r="P131" i="9"/>
  <c r="R131" i="9" s="1"/>
  <c r="S131" i="9" s="1"/>
  <c r="P158" i="9"/>
  <c r="R158" i="9" s="1"/>
  <c r="S158" i="9" s="1"/>
  <c r="P161" i="9"/>
  <c r="R161" i="9" s="1"/>
  <c r="S161" i="9" s="1"/>
  <c r="P168" i="9"/>
  <c r="R168" i="9" s="1"/>
  <c r="S168" i="9" s="1"/>
  <c r="P172" i="9"/>
  <c r="R172" i="9" s="1"/>
  <c r="S172" i="9" s="1"/>
  <c r="P187" i="9"/>
  <c r="R187" i="9" s="1"/>
  <c r="S187" i="9" s="1"/>
  <c r="P189" i="9"/>
  <c r="R189" i="9" s="1"/>
  <c r="S189" i="9" s="1"/>
  <c r="P190" i="9"/>
  <c r="R190" i="9" s="1"/>
  <c r="S190" i="9" s="1"/>
  <c r="P191" i="9"/>
  <c r="R191" i="9" s="1"/>
  <c r="S191" i="9" s="1"/>
  <c r="P192" i="9"/>
  <c r="R192" i="9" s="1"/>
  <c r="S192" i="9" s="1"/>
  <c r="P194" i="9"/>
  <c r="R194" i="9" s="1"/>
  <c r="S194" i="9" s="1"/>
  <c r="P195" i="9"/>
  <c r="R195" i="9" s="1"/>
  <c r="S195" i="9" s="1"/>
  <c r="P196" i="9"/>
  <c r="R196" i="9" s="1"/>
  <c r="S196" i="9" s="1"/>
  <c r="P197" i="9"/>
  <c r="R197" i="9" s="1"/>
  <c r="S197" i="9" s="1"/>
  <c r="P198" i="9"/>
  <c r="R198" i="9" s="1"/>
  <c r="S198" i="9" s="1"/>
  <c r="P199" i="9"/>
  <c r="R199" i="9" s="1"/>
  <c r="S199" i="9" s="1"/>
  <c r="P200" i="9"/>
  <c r="R200" i="9" s="1"/>
  <c r="S200" i="9" s="1"/>
  <c r="P201" i="9"/>
  <c r="R201" i="9" s="1"/>
  <c r="S201" i="9" s="1"/>
  <c r="P202" i="9"/>
  <c r="R202" i="9" s="1"/>
  <c r="S202" i="9" s="1"/>
  <c r="P8" i="9"/>
  <c r="R8" i="9" s="1"/>
  <c r="S8" i="9" s="1"/>
  <c r="P12" i="9"/>
  <c r="R12" i="9" s="1"/>
  <c r="S12" i="9" s="1"/>
  <c r="P16" i="9"/>
  <c r="R16" i="9" s="1"/>
  <c r="S16" i="9" s="1"/>
  <c r="P18" i="9"/>
  <c r="R18" i="9" s="1"/>
  <c r="S18" i="9" s="1"/>
  <c r="P22" i="9"/>
  <c r="R22" i="9" s="1"/>
  <c r="S22" i="9" s="1"/>
  <c r="P23" i="9"/>
  <c r="R23" i="9" s="1"/>
  <c r="S23" i="9" s="1"/>
  <c r="P26" i="9"/>
  <c r="R26" i="9" s="1"/>
  <c r="S26" i="9" s="1"/>
  <c r="P27" i="9"/>
  <c r="R27" i="9" s="1"/>
  <c r="S27" i="9" s="1"/>
  <c r="P229" i="9"/>
  <c r="R229" i="9" s="1"/>
  <c r="S229" i="9" s="1"/>
  <c r="P232" i="9"/>
  <c r="R232" i="9" s="1"/>
  <c r="S232" i="9" s="1"/>
  <c r="P233" i="9"/>
  <c r="R233" i="9" s="1"/>
  <c r="S233" i="9" s="1"/>
  <c r="P274" i="9"/>
  <c r="R274" i="9" s="1"/>
  <c r="S274" i="9" s="1"/>
  <c r="P275" i="9"/>
  <c r="R275" i="9" s="1"/>
  <c r="S275" i="9" s="1"/>
  <c r="P287" i="9"/>
  <c r="R287" i="9" s="1"/>
  <c r="S287" i="9" s="1"/>
  <c r="N78" i="8" s="1"/>
  <c r="P290" i="9"/>
  <c r="R290" i="9" s="1"/>
  <c r="S290" i="9" s="1"/>
  <c r="P291" i="9"/>
  <c r="R291" i="9" s="1"/>
  <c r="S291" i="9" s="1"/>
  <c r="P309" i="9"/>
  <c r="R309" i="9" s="1"/>
  <c r="S309" i="9" s="1"/>
  <c r="P312" i="9"/>
  <c r="R312" i="9" s="1"/>
  <c r="S312" i="9" s="1"/>
  <c r="P314" i="9"/>
  <c r="R314" i="9" s="1"/>
  <c r="S314" i="9" s="1"/>
  <c r="P321" i="9"/>
  <c r="R321" i="9" s="1"/>
  <c r="S321" i="9" s="1"/>
  <c r="P324" i="9"/>
  <c r="R324" i="9" s="1"/>
  <c r="S324" i="9" s="1"/>
  <c r="P325" i="9"/>
  <c r="R325" i="9" s="1"/>
  <c r="S325" i="9" s="1"/>
  <c r="P326" i="9"/>
  <c r="R326" i="9" s="1"/>
  <c r="S326" i="9" s="1"/>
  <c r="P327" i="9"/>
  <c r="R327" i="9" s="1"/>
  <c r="S327" i="9" s="1"/>
  <c r="P340" i="9"/>
  <c r="R340" i="9" s="1"/>
  <c r="S340" i="9" s="1"/>
  <c r="P341" i="9"/>
  <c r="R341" i="9" s="1"/>
  <c r="S341" i="9" s="1"/>
  <c r="P345" i="9"/>
  <c r="R345" i="9" s="1"/>
  <c r="S345" i="9" s="1"/>
  <c r="P346" i="9"/>
  <c r="R346" i="9" s="1"/>
  <c r="S346" i="9" s="1"/>
  <c r="P347" i="9"/>
  <c r="R347" i="9" s="1"/>
  <c r="S347" i="9" s="1"/>
  <c r="P25" i="9"/>
  <c r="R25" i="9" s="1"/>
  <c r="S25" i="9" s="1"/>
  <c r="P231" i="9"/>
  <c r="R231" i="9" s="1"/>
  <c r="S231" i="9" s="1"/>
  <c r="P363" i="9"/>
  <c r="R363" i="9" s="1"/>
  <c r="S363" i="9" s="1"/>
  <c r="P365" i="9"/>
  <c r="R365" i="9" s="1"/>
  <c r="S365" i="9" s="1"/>
  <c r="P366" i="9"/>
  <c r="R366" i="9" s="1"/>
  <c r="S366" i="9" s="1"/>
  <c r="P371" i="9"/>
  <c r="R371" i="9" s="1"/>
  <c r="S371" i="9" s="1"/>
  <c r="P387" i="9"/>
  <c r="R387" i="9" s="1"/>
  <c r="S387" i="9" s="1"/>
  <c r="P388" i="9"/>
  <c r="R388" i="9" s="1"/>
  <c r="S388" i="9" s="1"/>
  <c r="P389" i="9"/>
  <c r="R389" i="9" s="1"/>
  <c r="S389" i="9" s="1"/>
  <c r="P390" i="9"/>
  <c r="R390" i="9" s="1"/>
  <c r="S390" i="9" s="1"/>
  <c r="P399" i="9"/>
  <c r="R399" i="9" s="1"/>
  <c r="S399" i="9" s="1"/>
  <c r="P400" i="9"/>
  <c r="R400" i="9" s="1"/>
  <c r="S400" i="9" s="1"/>
  <c r="P401" i="9"/>
  <c r="R401" i="9" s="1"/>
  <c r="S401" i="9" s="1"/>
  <c r="P403" i="9"/>
  <c r="R403" i="9" s="1"/>
  <c r="S403" i="9" s="1"/>
  <c r="P404" i="9"/>
  <c r="R404" i="9" s="1"/>
  <c r="S404" i="9" s="1"/>
  <c r="P414" i="9"/>
  <c r="R414" i="9" s="1"/>
  <c r="S414" i="9" s="1"/>
  <c r="P415" i="9"/>
  <c r="R415" i="9" s="1"/>
  <c r="S415" i="9" s="1"/>
  <c r="P416" i="9"/>
  <c r="R416" i="9" s="1"/>
  <c r="S416" i="9" s="1"/>
  <c r="P417" i="9"/>
  <c r="R417" i="9" s="1"/>
  <c r="S417" i="9" s="1"/>
  <c r="P418" i="9"/>
  <c r="R418" i="9" s="1"/>
  <c r="S418" i="9" s="1"/>
  <c r="N139" i="8" s="1"/>
  <c r="P421" i="9"/>
  <c r="R421" i="9" s="1"/>
  <c r="S421" i="9" s="1"/>
  <c r="P423" i="9"/>
  <c r="R423" i="9" s="1"/>
  <c r="S423" i="9" s="1"/>
  <c r="P437" i="9"/>
  <c r="R437" i="9" s="1"/>
  <c r="S437" i="9" s="1"/>
  <c r="P438" i="9"/>
  <c r="R438" i="9" s="1"/>
  <c r="S438" i="9" s="1"/>
  <c r="P468" i="9"/>
  <c r="R468" i="9" s="1"/>
  <c r="S468" i="9" s="1"/>
  <c r="N165" i="8" s="1"/>
  <c r="P470" i="9"/>
  <c r="R470" i="9" s="1"/>
  <c r="S470" i="9" s="1"/>
  <c r="P474" i="9"/>
  <c r="R474" i="9" s="1"/>
  <c r="S474" i="9" s="1"/>
  <c r="N168" i="8" s="1"/>
  <c r="P475" i="9"/>
  <c r="R475" i="9" s="1"/>
  <c r="S475" i="9" s="1"/>
  <c r="P476" i="9"/>
  <c r="R476" i="9" s="1"/>
  <c r="S476" i="9" s="1"/>
  <c r="P486" i="9"/>
  <c r="R486" i="9" s="1"/>
  <c r="S486" i="9" s="1"/>
  <c r="N173" i="8" s="1"/>
  <c r="P487" i="9"/>
  <c r="R487" i="9" s="1"/>
  <c r="S487" i="9" s="1"/>
  <c r="P490" i="9"/>
  <c r="R490" i="9" s="1"/>
  <c r="S490" i="9" s="1"/>
  <c r="N175" i="8" s="1"/>
  <c r="P491" i="9"/>
  <c r="R491" i="9" s="1"/>
  <c r="S491" i="9" s="1"/>
  <c r="P492" i="9"/>
  <c r="R492" i="9" s="1"/>
  <c r="S492" i="9" s="1"/>
  <c r="P504" i="9"/>
  <c r="R504" i="9" s="1"/>
  <c r="S504" i="9" s="1"/>
  <c r="P505" i="9"/>
  <c r="R505" i="9" s="1"/>
  <c r="S505" i="9" s="1"/>
  <c r="P534" i="9"/>
  <c r="R534" i="9" s="1"/>
  <c r="S534" i="9" s="1"/>
  <c r="P538" i="9"/>
  <c r="R538" i="9" s="1"/>
  <c r="S538" i="9" s="1"/>
  <c r="P539" i="9"/>
  <c r="R539" i="9" s="1"/>
  <c r="S539" i="9" s="1"/>
  <c r="P540" i="9"/>
  <c r="R540" i="9" s="1"/>
  <c r="S540" i="9" s="1"/>
  <c r="P49" i="9"/>
  <c r="R49" i="9" s="1"/>
  <c r="S49" i="9" s="1"/>
  <c r="P50" i="9"/>
  <c r="R50" i="9" s="1"/>
  <c r="S50" i="9" s="1"/>
  <c r="P51" i="9"/>
  <c r="R51" i="9" s="1"/>
  <c r="S51" i="9" s="1"/>
  <c r="P52" i="9"/>
  <c r="R52" i="9" s="1"/>
  <c r="S52" i="9" s="1"/>
  <c r="P38" i="9"/>
  <c r="R38" i="9" s="1"/>
  <c r="S38" i="9" s="1"/>
  <c r="P39" i="9"/>
  <c r="R39" i="9" s="1"/>
  <c r="S39" i="9" s="1"/>
  <c r="P41" i="9"/>
  <c r="R41" i="9" s="1"/>
  <c r="S41" i="9" s="1"/>
  <c r="P110" i="9"/>
  <c r="R110" i="9" s="1"/>
  <c r="S110" i="9" s="1"/>
  <c r="P111" i="9"/>
  <c r="R111" i="9" s="1"/>
  <c r="S111" i="9" s="1"/>
  <c r="P128" i="9"/>
  <c r="R128" i="9" s="1"/>
  <c r="S128" i="9" s="1"/>
  <c r="P157" i="9"/>
  <c r="R157" i="9" s="1"/>
  <c r="S157" i="9" s="1"/>
  <c r="P169" i="9"/>
  <c r="R169" i="9" s="1"/>
  <c r="S169" i="9" s="1"/>
  <c r="P212" i="9"/>
  <c r="R212" i="9" s="1"/>
  <c r="S212" i="9" s="1"/>
  <c r="P213" i="9"/>
  <c r="R213" i="9" s="1"/>
  <c r="S213" i="9" s="1"/>
  <c r="P214" i="9"/>
  <c r="R214" i="9" s="1"/>
  <c r="S214" i="9" s="1"/>
  <c r="P215" i="9"/>
  <c r="R215" i="9" s="1"/>
  <c r="S215" i="9" s="1"/>
  <c r="P43" i="9"/>
  <c r="R43" i="9" s="1"/>
  <c r="S43" i="9" s="1"/>
  <c r="P250" i="9"/>
  <c r="R250" i="9" s="1"/>
  <c r="S250" i="9" s="1"/>
  <c r="P251" i="9"/>
  <c r="R251" i="9" s="1"/>
  <c r="S251" i="9" s="1"/>
  <c r="P253" i="9"/>
  <c r="R253" i="9" s="1"/>
  <c r="S253" i="9" s="1"/>
  <c r="P254" i="9"/>
  <c r="R254" i="9" s="1"/>
  <c r="S254" i="9" s="1"/>
  <c r="P269" i="9"/>
  <c r="R269" i="9" s="1"/>
  <c r="S269" i="9" s="1"/>
  <c r="P270" i="9"/>
  <c r="R270" i="9" s="1"/>
  <c r="S270" i="9" s="1"/>
  <c r="P40" i="9"/>
  <c r="R40" i="9" s="1"/>
  <c r="S40" i="9" s="1"/>
  <c r="P230" i="9"/>
  <c r="R230" i="9" s="1"/>
  <c r="S230" i="9" s="1"/>
  <c r="P364" i="9"/>
  <c r="R364" i="9" s="1"/>
  <c r="S364" i="9" s="1"/>
  <c r="P411" i="9"/>
  <c r="R411" i="9" s="1"/>
  <c r="S411" i="9" s="1"/>
  <c r="N135" i="8" s="1"/>
  <c r="P430" i="9"/>
  <c r="R430" i="9" s="1"/>
  <c r="S430" i="9" s="1"/>
  <c r="N145" i="8" s="1"/>
  <c r="P431" i="9"/>
  <c r="R431" i="9" s="1"/>
  <c r="S431" i="9" s="1"/>
  <c r="P432" i="9"/>
  <c r="R432" i="9" s="1"/>
  <c r="S432" i="9" s="1"/>
  <c r="P433" i="9"/>
  <c r="R433" i="9" s="1"/>
  <c r="S433" i="9" s="1"/>
  <c r="P443" i="9"/>
  <c r="R443" i="9" s="1"/>
  <c r="S443" i="9" s="1"/>
  <c r="P445" i="9"/>
  <c r="R445" i="9" s="1"/>
  <c r="S445" i="9" s="1"/>
  <c r="P469" i="9"/>
  <c r="R469" i="9" s="1"/>
  <c r="S469" i="9" s="1"/>
  <c r="P498" i="9"/>
  <c r="R498" i="9" s="1"/>
  <c r="S498" i="9" s="1"/>
  <c r="P499" i="9"/>
  <c r="R499" i="9" s="1"/>
  <c r="S499" i="9" s="1"/>
  <c r="P510" i="9"/>
  <c r="R510" i="9" s="1"/>
  <c r="S510" i="9" s="1"/>
  <c r="N184" i="8" s="1"/>
  <c r="P524" i="9"/>
  <c r="R524" i="9" s="1"/>
  <c r="S524" i="9" s="1"/>
  <c r="P525" i="9"/>
  <c r="R525" i="9" s="1"/>
  <c r="S525" i="9" s="1"/>
  <c r="P526" i="9"/>
  <c r="R526" i="9" s="1"/>
  <c r="S526" i="9" s="1"/>
  <c r="P527" i="9"/>
  <c r="R527" i="9" s="1"/>
  <c r="S527" i="9" s="1"/>
  <c r="P529" i="9"/>
  <c r="R529" i="9" s="1"/>
  <c r="S529" i="9" s="1"/>
  <c r="P530" i="9"/>
  <c r="R530" i="9" s="1"/>
  <c r="S530" i="9" s="1"/>
  <c r="P531" i="9"/>
  <c r="R531" i="9" s="1"/>
  <c r="S531" i="9" s="1"/>
  <c r="P46" i="9"/>
  <c r="P47" i="9"/>
  <c r="P48" i="9"/>
  <c r="P60" i="9"/>
  <c r="P61" i="9"/>
  <c r="P62" i="9"/>
  <c r="P87" i="9"/>
  <c r="R87" i="9" s="1"/>
  <c r="S87" i="9" s="1"/>
  <c r="P112" i="9"/>
  <c r="R112" i="9" s="1"/>
  <c r="S112" i="9" s="1"/>
  <c r="P113" i="9"/>
  <c r="R113" i="9" s="1"/>
  <c r="S113" i="9" s="1"/>
  <c r="P116" i="9"/>
  <c r="R116" i="9" s="1"/>
  <c r="S116" i="9" s="1"/>
  <c r="P121" i="9"/>
  <c r="R121" i="9" s="1"/>
  <c r="S121" i="9" s="1"/>
  <c r="P122" i="9"/>
  <c r="R122" i="9" s="1"/>
  <c r="S122" i="9" s="1"/>
  <c r="P125" i="9"/>
  <c r="R125" i="9" s="1"/>
  <c r="S125" i="9" s="1"/>
  <c r="P160" i="9"/>
  <c r="P171" i="9"/>
  <c r="R171" i="9" s="1"/>
  <c r="S171" i="9" s="1"/>
  <c r="P225" i="9"/>
  <c r="R225" i="9" s="1"/>
  <c r="S225" i="9" s="1"/>
  <c r="P227" i="9"/>
  <c r="R227" i="9" s="1"/>
  <c r="S227" i="9" s="1"/>
  <c r="P308" i="9"/>
  <c r="R308" i="9" s="1"/>
  <c r="S308" i="9" s="1"/>
  <c r="N86" i="8" s="1"/>
  <c r="P311" i="9"/>
  <c r="R311" i="9" s="1"/>
  <c r="S311" i="9" s="1"/>
  <c r="P313" i="9"/>
  <c r="R313" i="9" s="1"/>
  <c r="S313" i="9" s="1"/>
  <c r="P317" i="9"/>
  <c r="R317" i="9" s="1"/>
  <c r="S317" i="9" s="1"/>
  <c r="N91" i="8" s="1"/>
  <c r="P320" i="9"/>
  <c r="P343" i="9"/>
  <c r="R343" i="9" s="1"/>
  <c r="S343" i="9" s="1"/>
  <c r="P344" i="9"/>
  <c r="R344" i="9" s="1"/>
  <c r="S344" i="9" s="1"/>
  <c r="P349" i="9"/>
  <c r="R349" i="9" s="1"/>
  <c r="S349" i="9" s="1"/>
  <c r="P228" i="9"/>
  <c r="R228" i="9" s="1"/>
  <c r="S228" i="9" s="1"/>
  <c r="P359" i="9"/>
  <c r="R359" i="9" s="1"/>
  <c r="S359" i="9" s="1"/>
  <c r="P360" i="9"/>
  <c r="R360" i="9" s="1"/>
  <c r="S360" i="9" s="1"/>
  <c r="P361" i="9"/>
  <c r="R361" i="9" s="1"/>
  <c r="S361" i="9" s="1"/>
  <c r="P370" i="9"/>
  <c r="R370" i="9" s="1"/>
  <c r="S370" i="9" s="1"/>
  <c r="N115" i="8" s="1"/>
  <c r="P384" i="9"/>
  <c r="R384" i="9" s="1"/>
  <c r="S384" i="9" s="1"/>
  <c r="P398" i="9"/>
  <c r="R398" i="9" s="1"/>
  <c r="S398" i="9" s="1"/>
  <c r="N129" i="8" s="1"/>
  <c r="P427" i="9"/>
  <c r="R427" i="9" s="1"/>
  <c r="S427" i="9" s="1"/>
  <c r="P442" i="9"/>
  <c r="R442" i="9" s="1"/>
  <c r="S442" i="9" s="1"/>
  <c r="P444" i="9"/>
  <c r="R444" i="9" s="1"/>
  <c r="S444" i="9" s="1"/>
  <c r="P465" i="9"/>
  <c r="R465" i="9" s="1"/>
  <c r="S465" i="9" s="1"/>
  <c r="P466" i="9"/>
  <c r="R466" i="9" s="1"/>
  <c r="S466" i="9" s="1"/>
  <c r="P467" i="9"/>
  <c r="R467" i="9" s="1"/>
  <c r="S467" i="9" s="1"/>
  <c r="P506" i="9"/>
  <c r="R506" i="9" s="1"/>
  <c r="S506" i="9" s="1"/>
  <c r="P507" i="9"/>
  <c r="R507" i="9" s="1"/>
  <c r="S507" i="9" s="1"/>
  <c r="P509" i="9"/>
  <c r="R509" i="9" s="1"/>
  <c r="S509" i="9" s="1"/>
  <c r="P520" i="9"/>
  <c r="R520" i="9" s="1"/>
  <c r="S520" i="9" s="1"/>
  <c r="N189" i="8" s="1"/>
  <c r="P535" i="9"/>
  <c r="R535" i="9" s="1"/>
  <c r="S535" i="9" s="1"/>
  <c r="N196" i="8" s="1"/>
  <c r="P45" i="9"/>
  <c r="P532" i="9"/>
  <c r="R532" i="9" s="1"/>
  <c r="S532" i="9" s="1"/>
  <c r="N195" i="8" s="1"/>
  <c r="P533" i="9"/>
  <c r="R533" i="9" s="1"/>
  <c r="S533" i="9" s="1"/>
  <c r="P536" i="9"/>
  <c r="R536" i="9" s="1"/>
  <c r="S536" i="9" s="1"/>
  <c r="G11" i="10"/>
  <c r="G12" i="10"/>
  <c r="G13" i="10"/>
  <c r="G14" i="10"/>
  <c r="P2" i="9" s="1"/>
  <c r="G15" i="10"/>
  <c r="G16" i="10"/>
  <c r="G17" i="10"/>
  <c r="G18" i="10"/>
  <c r="G19" i="10"/>
  <c r="G20" i="10"/>
  <c r="G21" i="10"/>
  <c r="G22" i="10"/>
  <c r="G23" i="10"/>
  <c r="G24" i="10"/>
  <c r="P66" i="9"/>
  <c r="R66" i="9" s="1"/>
  <c r="S66" i="9" s="1"/>
  <c r="P67" i="9"/>
  <c r="R67" i="9" s="1"/>
  <c r="S67" i="9" s="1"/>
  <c r="P68" i="9"/>
  <c r="R68" i="9" s="1"/>
  <c r="S68" i="9" s="1"/>
  <c r="P69" i="9"/>
  <c r="R69" i="9" s="1"/>
  <c r="S69" i="9" s="1"/>
  <c r="P72" i="9"/>
  <c r="R72" i="9" s="1"/>
  <c r="S72" i="9" s="1"/>
  <c r="P73" i="9"/>
  <c r="R73" i="9" s="1"/>
  <c r="S73" i="9" s="1"/>
  <c r="P29" i="9"/>
  <c r="R29" i="9" s="1"/>
  <c r="S29" i="9" s="1"/>
  <c r="P30" i="9"/>
  <c r="R30" i="9" s="1"/>
  <c r="S30" i="9" s="1"/>
  <c r="P32" i="9"/>
  <c r="R32" i="9" s="1"/>
  <c r="S32" i="9" s="1"/>
  <c r="P88" i="9"/>
  <c r="R88" i="9" s="1"/>
  <c r="S88" i="9" s="1"/>
  <c r="P100" i="9"/>
  <c r="R100" i="9" s="1"/>
  <c r="S100" i="9" s="1"/>
  <c r="N24" i="8" s="1"/>
  <c r="P101" i="9"/>
  <c r="R101" i="9" s="1"/>
  <c r="S101" i="9" s="1"/>
  <c r="P102" i="9"/>
  <c r="R102" i="9" s="1"/>
  <c r="S102" i="9" s="1"/>
  <c r="P103" i="9"/>
  <c r="R103" i="9" s="1"/>
  <c r="S103" i="9" s="1"/>
  <c r="P134" i="9"/>
  <c r="R134" i="9" s="1"/>
  <c r="S134" i="9" s="1"/>
  <c r="P135" i="9"/>
  <c r="R135" i="9" s="1"/>
  <c r="S135" i="9" s="1"/>
  <c r="P136" i="9"/>
  <c r="R136" i="9" s="1"/>
  <c r="S136" i="9" s="1"/>
  <c r="P137" i="9"/>
  <c r="R137" i="9" s="1"/>
  <c r="S137" i="9" s="1"/>
  <c r="P141" i="9"/>
  <c r="R141" i="9" s="1"/>
  <c r="S141" i="9" s="1"/>
  <c r="N38" i="8" s="1"/>
  <c r="P142" i="9"/>
  <c r="R142" i="9" s="1"/>
  <c r="S142" i="9" s="1"/>
  <c r="P143" i="9"/>
  <c r="R143" i="9" s="1"/>
  <c r="S143" i="9" s="1"/>
  <c r="P144" i="9"/>
  <c r="R144" i="9" s="1"/>
  <c r="S144" i="9" s="1"/>
  <c r="P145" i="9"/>
  <c r="R145" i="9" s="1"/>
  <c r="S145" i="9" s="1"/>
  <c r="P146" i="9"/>
  <c r="R146" i="9" s="1"/>
  <c r="S146" i="9" s="1"/>
  <c r="P148" i="9"/>
  <c r="R148" i="9" s="1"/>
  <c r="S148" i="9" s="1"/>
  <c r="P149" i="9"/>
  <c r="R149" i="9" s="1"/>
  <c r="S149" i="9" s="1"/>
  <c r="P150" i="9"/>
  <c r="R150" i="9" s="1"/>
  <c r="S150" i="9" s="1"/>
  <c r="P151" i="9"/>
  <c r="R151" i="9" s="1"/>
  <c r="S151" i="9" s="1"/>
  <c r="P152" i="9"/>
  <c r="R152" i="9" s="1"/>
  <c r="S152" i="9" s="1"/>
  <c r="P153" i="9"/>
  <c r="R153" i="9" s="1"/>
  <c r="S153" i="9" s="1"/>
  <c r="P156" i="9"/>
  <c r="R156" i="9" s="1"/>
  <c r="S156" i="9" s="1"/>
  <c r="P167" i="9"/>
  <c r="R167" i="9" s="1"/>
  <c r="S167" i="9" s="1"/>
  <c r="P173" i="9"/>
  <c r="R173" i="9" s="1"/>
  <c r="S173" i="9" s="1"/>
  <c r="N46" i="8" s="1"/>
  <c r="P174" i="9"/>
  <c r="R174" i="9" s="1"/>
  <c r="S174" i="9" s="1"/>
  <c r="P175" i="9"/>
  <c r="R175" i="9" s="1"/>
  <c r="S175" i="9" s="1"/>
  <c r="P176" i="9"/>
  <c r="R176" i="9" s="1"/>
  <c r="S176" i="9" s="1"/>
  <c r="N47" i="8" s="1"/>
  <c r="P183" i="9"/>
  <c r="R183" i="9" s="1"/>
  <c r="S183" i="9" s="1"/>
  <c r="N49" i="8" s="1"/>
  <c r="P188" i="9"/>
  <c r="R188" i="9" s="1"/>
  <c r="S188" i="9" s="1"/>
  <c r="P193" i="9"/>
  <c r="R193" i="9" s="1"/>
  <c r="S193" i="9" s="1"/>
  <c r="N51" i="8" s="1"/>
  <c r="P209" i="9"/>
  <c r="R209" i="9" s="1"/>
  <c r="S209" i="9" s="1"/>
  <c r="N55" i="8" s="1"/>
  <c r="P211" i="9"/>
  <c r="R211" i="9" s="1"/>
  <c r="S211" i="9" s="1"/>
  <c r="N56" i="8" s="1"/>
  <c r="P216" i="9"/>
  <c r="R216" i="9" s="1"/>
  <c r="S216" i="9" s="1"/>
  <c r="P4" i="9"/>
  <c r="R4" i="9" s="1"/>
  <c r="S4" i="9" s="1"/>
  <c r="P6" i="9"/>
  <c r="R6" i="9" s="1"/>
  <c r="S6" i="9" s="1"/>
  <c r="P34" i="9"/>
  <c r="R34" i="9" s="1"/>
  <c r="S34" i="9" s="1"/>
  <c r="P217" i="9"/>
  <c r="R217" i="9" s="1"/>
  <c r="S217" i="9" s="1"/>
  <c r="P226" i="9"/>
  <c r="R226" i="9" s="1"/>
  <c r="S226" i="9" s="1"/>
  <c r="P240" i="9"/>
  <c r="R240" i="9" s="1"/>
  <c r="S240" i="9" s="1"/>
  <c r="P241" i="9"/>
  <c r="R241" i="9" s="1"/>
  <c r="S241" i="9" s="1"/>
  <c r="P242" i="9"/>
  <c r="R242" i="9" s="1"/>
  <c r="S242" i="9" s="1"/>
  <c r="P243" i="9"/>
  <c r="R243" i="9" s="1"/>
  <c r="S243" i="9" s="1"/>
  <c r="P246" i="9"/>
  <c r="R246" i="9" s="1"/>
  <c r="S246" i="9" s="1"/>
  <c r="N64" i="8" s="1"/>
  <c r="P255" i="9"/>
  <c r="R255" i="9" s="1"/>
  <c r="S255" i="9" s="1"/>
  <c r="P256" i="9"/>
  <c r="R256" i="9" s="1"/>
  <c r="S256" i="9" s="1"/>
  <c r="P257" i="9"/>
  <c r="R257" i="9" s="1"/>
  <c r="S257" i="9" s="1"/>
  <c r="P258" i="9"/>
  <c r="R258" i="9" s="1"/>
  <c r="S258" i="9" s="1"/>
  <c r="P260" i="9"/>
  <c r="R260" i="9" s="1"/>
  <c r="S260" i="9" s="1"/>
  <c r="P261" i="9"/>
  <c r="R261" i="9" s="1"/>
  <c r="S261" i="9" s="1"/>
  <c r="P262" i="9"/>
  <c r="R262" i="9" s="1"/>
  <c r="S262" i="9" s="1"/>
  <c r="P263" i="9"/>
  <c r="R263" i="9" s="1"/>
  <c r="S263" i="9" s="1"/>
  <c r="P264" i="9"/>
  <c r="R264" i="9" s="1"/>
  <c r="S264" i="9" s="1"/>
  <c r="P266" i="9"/>
  <c r="R266" i="9" s="1"/>
  <c r="S266" i="9" s="1"/>
  <c r="P268" i="9"/>
  <c r="R268" i="9" s="1"/>
  <c r="S268" i="9" s="1"/>
  <c r="N70" i="8" s="1"/>
  <c r="P280" i="9"/>
  <c r="R280" i="9" s="1"/>
  <c r="S280" i="9" s="1"/>
  <c r="P282" i="9"/>
  <c r="R282" i="9" s="1"/>
  <c r="S282" i="9" s="1"/>
  <c r="P283" i="9"/>
  <c r="R283" i="9" s="1"/>
  <c r="S283" i="9" s="1"/>
  <c r="P284" i="9"/>
  <c r="R284" i="9" s="1"/>
  <c r="S284" i="9" s="1"/>
  <c r="P285" i="9"/>
  <c r="R285" i="9" s="1"/>
  <c r="S285" i="9" s="1"/>
  <c r="P288" i="9"/>
  <c r="R288" i="9" s="1"/>
  <c r="S288" i="9" s="1"/>
  <c r="P289" i="9"/>
  <c r="R289" i="9" s="1"/>
  <c r="S289" i="9" s="1"/>
  <c r="P298" i="9"/>
  <c r="R298" i="9" s="1"/>
  <c r="S298" i="9" s="1"/>
  <c r="P299" i="9"/>
  <c r="R299" i="9" s="1"/>
  <c r="S299" i="9" s="1"/>
  <c r="P300" i="9"/>
  <c r="R300" i="9" s="1"/>
  <c r="S300" i="9" s="1"/>
  <c r="P301" i="9"/>
  <c r="R301" i="9" s="1"/>
  <c r="S301" i="9" s="1"/>
  <c r="P302" i="9"/>
  <c r="R302" i="9" s="1"/>
  <c r="S302" i="9" s="1"/>
  <c r="P303" i="9"/>
  <c r="R303" i="9" s="1"/>
  <c r="S303" i="9" s="1"/>
  <c r="P3" i="9"/>
  <c r="R3" i="9" s="1"/>
  <c r="S3" i="9" s="1"/>
  <c r="P5" i="9"/>
  <c r="R5" i="9" s="1"/>
  <c r="S5" i="9" s="1"/>
  <c r="P33" i="9"/>
  <c r="R33" i="9" s="1"/>
  <c r="S33" i="9" s="1"/>
  <c r="P35" i="9"/>
  <c r="R35" i="9" s="1"/>
  <c r="S35" i="9" s="1"/>
  <c r="P218" i="9"/>
  <c r="R218" i="9" s="1"/>
  <c r="S218" i="9" s="1"/>
  <c r="P219" i="9"/>
  <c r="R219" i="9" s="1"/>
  <c r="S219" i="9" s="1"/>
  <c r="P372" i="9"/>
  <c r="R372" i="9" s="1"/>
  <c r="S372" i="9" s="1"/>
  <c r="P373" i="9"/>
  <c r="R373" i="9" s="1"/>
  <c r="S373" i="9" s="1"/>
  <c r="P375" i="9"/>
  <c r="R375" i="9" s="1"/>
  <c r="S375" i="9" s="1"/>
  <c r="P376" i="9"/>
  <c r="R376" i="9" s="1"/>
  <c r="S376" i="9" s="1"/>
  <c r="P382" i="9"/>
  <c r="R382" i="9" s="1"/>
  <c r="S382" i="9" s="1"/>
  <c r="P383" i="9"/>
  <c r="R383" i="9" s="1"/>
  <c r="S383" i="9" s="1"/>
  <c r="P396" i="9"/>
  <c r="R396" i="9" s="1"/>
  <c r="S396" i="9" s="1"/>
  <c r="P397" i="9"/>
  <c r="R397" i="9" s="1"/>
  <c r="S397" i="9" s="1"/>
  <c r="P407" i="9"/>
  <c r="R407" i="9" s="1"/>
  <c r="S407" i="9" s="1"/>
  <c r="P408" i="9"/>
  <c r="R408" i="9" s="1"/>
  <c r="S408" i="9" s="1"/>
  <c r="P413" i="9"/>
  <c r="R413" i="9" s="1"/>
  <c r="S413" i="9" s="1"/>
  <c r="P426" i="9"/>
  <c r="R426" i="9" s="1"/>
  <c r="S426" i="9" s="1"/>
  <c r="P429" i="9"/>
  <c r="R429" i="9" s="1"/>
  <c r="S429" i="9" s="1"/>
  <c r="P434" i="9"/>
  <c r="R434" i="9" s="1"/>
  <c r="S434" i="9" s="1"/>
  <c r="P435" i="9"/>
  <c r="R435" i="9" s="1"/>
  <c r="S435" i="9" s="1"/>
  <c r="P441" i="9"/>
  <c r="R441" i="9" s="1"/>
  <c r="S441" i="9" s="1"/>
  <c r="P446" i="9"/>
  <c r="R446" i="9" s="1"/>
  <c r="S446" i="9" s="1"/>
  <c r="P447" i="9"/>
  <c r="R447" i="9" s="1"/>
  <c r="S447" i="9" s="1"/>
  <c r="P448" i="9"/>
  <c r="R448" i="9" s="1"/>
  <c r="S448" i="9" s="1"/>
  <c r="P449" i="9"/>
  <c r="R449" i="9" s="1"/>
  <c r="S449" i="9" s="1"/>
  <c r="P450" i="9"/>
  <c r="R450" i="9" s="1"/>
  <c r="S450" i="9" s="1"/>
  <c r="P451" i="9"/>
  <c r="R451" i="9" s="1"/>
  <c r="S451" i="9" s="1"/>
  <c r="P452" i="9"/>
  <c r="R452" i="9" s="1"/>
  <c r="S452" i="9" s="1"/>
  <c r="P455" i="9"/>
  <c r="R455" i="9" s="1"/>
  <c r="S455" i="9" s="1"/>
  <c r="P456" i="9"/>
  <c r="R456" i="9" s="1"/>
  <c r="S456" i="9" s="1"/>
  <c r="P459" i="9"/>
  <c r="R459" i="9" s="1"/>
  <c r="S459" i="9" s="1"/>
  <c r="P460" i="9"/>
  <c r="R460" i="9" s="1"/>
  <c r="S460" i="9" s="1"/>
  <c r="P461" i="9"/>
  <c r="R461" i="9" s="1"/>
  <c r="S461" i="9" s="1"/>
  <c r="N162" i="8" s="1"/>
  <c r="P462" i="9"/>
  <c r="R462" i="9" s="1"/>
  <c r="S462" i="9" s="1"/>
  <c r="P471" i="9"/>
  <c r="R471" i="9" s="1"/>
  <c r="S471" i="9" s="1"/>
  <c r="N166" i="8" s="1"/>
  <c r="P472" i="9"/>
  <c r="R472" i="9" s="1"/>
  <c r="S472" i="9" s="1"/>
  <c r="N167" i="8" s="1"/>
  <c r="P473" i="9"/>
  <c r="R473" i="9" s="1"/>
  <c r="S473" i="9" s="1"/>
  <c r="P477" i="9"/>
  <c r="R477" i="9" s="1"/>
  <c r="S477" i="9" s="1"/>
  <c r="N169" i="8" s="1"/>
  <c r="P478" i="9"/>
  <c r="R478" i="9" s="1"/>
  <c r="S478" i="9" s="1"/>
  <c r="P479" i="9"/>
  <c r="R479" i="9" s="1"/>
  <c r="S479" i="9" s="1"/>
  <c r="P480" i="9"/>
  <c r="R480" i="9" s="1"/>
  <c r="S480" i="9" s="1"/>
  <c r="N170" i="8" s="1"/>
  <c r="P481" i="9"/>
  <c r="R481" i="9" s="1"/>
  <c r="S481" i="9" s="1"/>
  <c r="P482" i="9"/>
  <c r="R482" i="9" s="1"/>
  <c r="S482" i="9" s="1"/>
  <c r="N171" i="8" s="1"/>
  <c r="P483" i="9"/>
  <c r="R483" i="9" s="1"/>
  <c r="S483" i="9" s="1"/>
  <c r="P484" i="9"/>
  <c r="R484" i="9" s="1"/>
  <c r="S484" i="9" s="1"/>
  <c r="N172" i="8" s="1"/>
  <c r="P485" i="9"/>
  <c r="R485" i="9" s="1"/>
  <c r="S485" i="9" s="1"/>
  <c r="P496" i="9"/>
  <c r="R496" i="9" s="1"/>
  <c r="S496" i="9" s="1"/>
  <c r="N178" i="8" s="1"/>
  <c r="P497" i="9"/>
  <c r="R497" i="9" s="1"/>
  <c r="S497" i="9" s="1"/>
  <c r="P508" i="9"/>
  <c r="R508" i="9" s="1"/>
  <c r="S508" i="9" s="1"/>
  <c r="N183" i="8" s="1"/>
  <c r="P512" i="9"/>
  <c r="R512" i="9" s="1"/>
  <c r="S512" i="9" s="1"/>
  <c r="N186" i="8" s="1"/>
  <c r="P513" i="9"/>
  <c r="R513" i="9" s="1"/>
  <c r="S513" i="9" s="1"/>
  <c r="P515" i="9"/>
  <c r="R515" i="9" s="1"/>
  <c r="S515" i="9" s="1"/>
  <c r="P518" i="9"/>
  <c r="R518" i="9" s="1"/>
  <c r="S518" i="9" s="1"/>
  <c r="P521" i="9"/>
  <c r="R521" i="9" s="1"/>
  <c r="S521" i="9" s="1"/>
  <c r="N190" i="8" s="1"/>
  <c r="P522" i="9"/>
  <c r="R522" i="9" s="1"/>
  <c r="S522" i="9" s="1"/>
  <c r="P537" i="9"/>
  <c r="R537" i="9" s="1"/>
  <c r="S537" i="9" s="1"/>
  <c r="P542" i="9"/>
  <c r="P544" i="9"/>
  <c r="R544" i="9" s="1"/>
  <c r="S544" i="9" s="1"/>
  <c r="N199" i="8" s="1"/>
  <c r="U544" i="9"/>
  <c r="M199" i="8" s="1"/>
  <c r="I122" i="2" s="1"/>
  <c r="U543" i="9"/>
  <c r="M198" i="8" s="1"/>
  <c r="I113" i="2" s="1"/>
  <c r="R542" i="9"/>
  <c r="S542" i="9" s="1"/>
  <c r="U542" i="9"/>
  <c r="U541" i="9"/>
  <c r="U540" i="9"/>
  <c r="U539" i="9"/>
  <c r="U538" i="9"/>
  <c r="U537" i="9"/>
  <c r="M197" i="8" s="1"/>
  <c r="I101" i="2" s="1"/>
  <c r="U536" i="9"/>
  <c r="U535" i="9"/>
  <c r="M196" i="8" s="1"/>
  <c r="I147" i="2" s="1"/>
  <c r="U534" i="9"/>
  <c r="U533" i="9"/>
  <c r="U532" i="9"/>
  <c r="M195" i="8" s="1"/>
  <c r="I54" i="2" s="1"/>
  <c r="U531" i="9"/>
  <c r="U530" i="9"/>
  <c r="M194" i="8" s="1"/>
  <c r="I76" i="2" s="1"/>
  <c r="U529" i="9"/>
  <c r="U528" i="9"/>
  <c r="M193" i="8" s="1"/>
  <c r="I34" i="2" s="1"/>
  <c r="U527" i="9"/>
  <c r="U526" i="9"/>
  <c r="U525" i="9"/>
  <c r="M192" i="8" s="1"/>
  <c r="I197" i="2" s="1"/>
  <c r="U524" i="9"/>
  <c r="U523" i="9"/>
  <c r="M191" i="8" s="1"/>
  <c r="I142" i="2" s="1"/>
  <c r="U522" i="9"/>
  <c r="U521" i="9"/>
  <c r="M190" i="8" s="1"/>
  <c r="I88" i="2" s="1"/>
  <c r="U520" i="9"/>
  <c r="M189" i="8" s="1"/>
  <c r="I129" i="2" s="1"/>
  <c r="U519" i="9"/>
  <c r="U518" i="9"/>
  <c r="U517" i="9"/>
  <c r="M188" i="8" s="1"/>
  <c r="I51" i="2" s="1"/>
  <c r="U516" i="9"/>
  <c r="U515" i="9"/>
  <c r="U514" i="9"/>
  <c r="M187" i="8" s="1"/>
  <c r="I50" i="2" s="1"/>
  <c r="U513" i="9"/>
  <c r="U512" i="9"/>
  <c r="M186" i="8" s="1"/>
  <c r="I150" i="2" s="1"/>
  <c r="U511" i="9"/>
  <c r="M185" i="8" s="1"/>
  <c r="I195" i="2" s="1"/>
  <c r="U510" i="9"/>
  <c r="M184" i="8" s="1"/>
  <c r="I78" i="2" s="1"/>
  <c r="U509" i="9"/>
  <c r="U508" i="9"/>
  <c r="U507" i="9"/>
  <c r="U506" i="9"/>
  <c r="U505" i="9"/>
  <c r="U504" i="9"/>
  <c r="M182" i="8" s="1"/>
  <c r="I198" i="2" s="1"/>
  <c r="U503" i="9"/>
  <c r="U502" i="9"/>
  <c r="M181" i="8" s="1"/>
  <c r="I58" i="2" s="1"/>
  <c r="U501" i="9"/>
  <c r="U500" i="9"/>
  <c r="M180" i="8" s="1"/>
  <c r="I31" i="2" s="1"/>
  <c r="U499" i="9"/>
  <c r="U498" i="9"/>
  <c r="M179" i="8" s="1"/>
  <c r="I185" i="2" s="1"/>
  <c r="U497" i="9"/>
  <c r="U496" i="9"/>
  <c r="M178" i="8" s="1"/>
  <c r="I19" i="2" s="1"/>
  <c r="U495" i="9"/>
  <c r="U494" i="9"/>
  <c r="M177" i="8" s="1"/>
  <c r="I168" i="2" s="1"/>
  <c r="U493" i="9"/>
  <c r="M176" i="8" s="1"/>
  <c r="I196" i="2" s="1"/>
  <c r="U492" i="9"/>
  <c r="U491" i="9"/>
  <c r="U490" i="9"/>
  <c r="M175" i="8" s="1"/>
  <c r="I111" i="2" s="1"/>
  <c r="U489" i="9"/>
  <c r="R488" i="9"/>
  <c r="S488" i="9" s="1"/>
  <c r="U488" i="9"/>
  <c r="M174" i="8" s="1"/>
  <c r="I49" i="2" s="1"/>
  <c r="U487" i="9"/>
  <c r="U486" i="9"/>
  <c r="M173" i="8" s="1"/>
  <c r="I152" i="2" s="1"/>
  <c r="U485" i="9"/>
  <c r="U484" i="9"/>
  <c r="M172" i="8" s="1"/>
  <c r="I94" i="2" s="1"/>
  <c r="U483" i="9"/>
  <c r="U482" i="9"/>
  <c r="M171" i="8" s="1"/>
  <c r="I70" i="2" s="1"/>
  <c r="I199" i="8"/>
  <c r="I200" i="8" s="1"/>
  <c r="J200" i="8" s="1"/>
  <c r="J199" i="8"/>
  <c r="U481" i="9"/>
  <c r="U480" i="9"/>
  <c r="M170" i="8" s="1"/>
  <c r="I127" i="2" s="1"/>
  <c r="U479" i="9"/>
  <c r="U478" i="9"/>
  <c r="U477" i="9"/>
  <c r="M169" i="8" s="1"/>
  <c r="I154" i="2" s="1"/>
  <c r="U476" i="9"/>
  <c r="U475" i="9"/>
  <c r="U474" i="9"/>
  <c r="M168" i="8" s="1"/>
  <c r="I141" i="2" s="1"/>
  <c r="U473" i="9"/>
  <c r="U472" i="9"/>
  <c r="M167" i="8" s="1"/>
  <c r="I121" i="2" s="1"/>
  <c r="U471" i="9"/>
  <c r="U470" i="9"/>
  <c r="M166" i="8" s="1"/>
  <c r="I110" i="2" s="1"/>
  <c r="U469" i="9"/>
  <c r="U468" i="9"/>
  <c r="M165" i="8" s="1"/>
  <c r="I186" i="2" s="1"/>
  <c r="U467" i="9"/>
  <c r="U466" i="9"/>
  <c r="U465" i="9"/>
  <c r="M164" i="8" s="1"/>
  <c r="I106" i="2" s="1"/>
  <c r="U464" i="9"/>
  <c r="U463" i="9"/>
  <c r="M163" i="8" s="1"/>
  <c r="I187" i="2" s="1"/>
  <c r="U462" i="9"/>
  <c r="U461" i="9"/>
  <c r="M162" i="8" s="1"/>
  <c r="I95" i="2" s="1"/>
  <c r="U460" i="9"/>
  <c r="U459" i="9"/>
  <c r="M161" i="8" s="1"/>
  <c r="I124" i="2" s="1"/>
  <c r="U458" i="9"/>
  <c r="U457" i="9"/>
  <c r="M160" i="8" s="1"/>
  <c r="I44" i="2" s="1"/>
  <c r="U456" i="9"/>
  <c r="U455" i="9"/>
  <c r="M159" i="8" s="1"/>
  <c r="I99" i="2" s="1"/>
  <c r="U454" i="9"/>
  <c r="U453" i="9"/>
  <c r="M158" i="8" s="1"/>
  <c r="I162" i="2" s="1"/>
  <c r="U452" i="9"/>
  <c r="U451" i="9"/>
  <c r="M157" i="8" s="1"/>
  <c r="I97" i="2" s="1"/>
  <c r="U450" i="9"/>
  <c r="U449" i="9"/>
  <c r="U448" i="9"/>
  <c r="M156" i="8" s="1"/>
  <c r="I120" i="2" s="1"/>
  <c r="U447" i="9"/>
  <c r="U446" i="9"/>
  <c r="M155" i="8" s="1"/>
  <c r="I66" i="2" s="1"/>
  <c r="U445" i="9"/>
  <c r="U444" i="9"/>
  <c r="M154" i="8" s="1"/>
  <c r="I145" i="2" s="1"/>
  <c r="U443" i="9"/>
  <c r="U442" i="9"/>
  <c r="M153" i="8" s="1"/>
  <c r="I144" i="2" s="1"/>
  <c r="U441" i="9"/>
  <c r="U440" i="9"/>
  <c r="U439" i="9"/>
  <c r="M150" i="8" s="1"/>
  <c r="I149" i="2" s="1"/>
  <c r="U438" i="9"/>
  <c r="U437" i="9"/>
  <c r="M149" i="8" s="1"/>
  <c r="I132" i="2" s="1"/>
  <c r="U436" i="9"/>
  <c r="M148" i="8" s="1"/>
  <c r="I143" i="2" s="1"/>
  <c r="U435" i="9"/>
  <c r="U434" i="9"/>
  <c r="M147" i="8" s="1"/>
  <c r="I123" i="2" s="1"/>
  <c r="U433" i="9"/>
  <c r="U432" i="9"/>
  <c r="U431" i="9"/>
  <c r="M146" i="8" s="1"/>
  <c r="I26" i="2" s="1"/>
  <c r="U430" i="9"/>
  <c r="M145" i="8" s="1"/>
  <c r="I169" i="2" s="1"/>
  <c r="U429" i="9"/>
  <c r="U428" i="9"/>
  <c r="M144" i="8" s="1"/>
  <c r="I153" i="2" s="1"/>
  <c r="U427" i="9"/>
  <c r="U426" i="9"/>
  <c r="M143" i="8" s="1"/>
  <c r="I59" i="2" s="1"/>
  <c r="U425" i="9"/>
  <c r="U424" i="9"/>
  <c r="M142" i="8" s="1"/>
  <c r="I25" i="2" s="1"/>
  <c r="U423" i="9"/>
  <c r="U422" i="9"/>
  <c r="M141" i="8" s="1"/>
  <c r="I160" i="2" s="1"/>
  <c r="U421" i="9"/>
  <c r="U420" i="9"/>
  <c r="M140" i="8" s="1"/>
  <c r="I159" i="2" s="1"/>
  <c r="R419" i="9"/>
  <c r="S419" i="9" s="1"/>
  <c r="U419" i="9"/>
  <c r="U418" i="9"/>
  <c r="M139" i="8" s="1"/>
  <c r="I164" i="2" s="1"/>
  <c r="U417" i="9"/>
  <c r="U416" i="9"/>
  <c r="M138" i="8" s="1"/>
  <c r="I130" i="2" s="1"/>
  <c r="U415" i="9"/>
  <c r="U414" i="9"/>
  <c r="M137" i="8" s="1"/>
  <c r="I29" i="2" s="1"/>
  <c r="U413" i="9"/>
  <c r="U412" i="9"/>
  <c r="M136" i="8" s="1"/>
  <c r="I178" i="2" s="1"/>
  <c r="U411" i="9"/>
  <c r="M135" i="8" s="1"/>
  <c r="I42" i="2" s="1"/>
  <c r="U410" i="9"/>
  <c r="U409" i="9"/>
  <c r="M134" i="8" s="1"/>
  <c r="I104" i="2" s="1"/>
  <c r="U408" i="9"/>
  <c r="U407" i="9"/>
  <c r="M133" i="8" s="1"/>
  <c r="I63" i="2" s="1"/>
  <c r="U406" i="9"/>
  <c r="R405" i="9"/>
  <c r="S405" i="9" s="1"/>
  <c r="U405" i="9"/>
  <c r="M132" i="8" s="1"/>
  <c r="I170" i="2" s="1"/>
  <c r="U404" i="9"/>
  <c r="U403" i="9"/>
  <c r="U402" i="9"/>
  <c r="M131" i="8" s="1"/>
  <c r="I126" i="2" s="1"/>
  <c r="U401" i="9"/>
  <c r="U400" i="9"/>
  <c r="M130" i="8" s="1"/>
  <c r="I73" i="2" s="1"/>
  <c r="U399" i="9"/>
  <c r="U398" i="9"/>
  <c r="M129" i="8" s="1"/>
  <c r="I71" i="2" s="1"/>
  <c r="U397" i="9"/>
  <c r="U396" i="9"/>
  <c r="M128" i="8" s="1"/>
  <c r="I48" i="2" s="1"/>
  <c r="U395" i="9"/>
  <c r="U394" i="9"/>
  <c r="M127" i="8" s="1"/>
  <c r="I156" i="2" s="1"/>
  <c r="U393" i="9"/>
  <c r="M126" i="8" s="1"/>
  <c r="I194" i="2" s="1"/>
  <c r="U392" i="9"/>
  <c r="U391" i="9"/>
  <c r="M125" i="8" s="1"/>
  <c r="I148" i="2" s="1"/>
  <c r="U390" i="9"/>
  <c r="U389" i="9"/>
  <c r="U388" i="9"/>
  <c r="U387" i="9"/>
  <c r="M124" i="8" s="1"/>
  <c r="I166" i="2" s="1"/>
  <c r="U386" i="9"/>
  <c r="U385" i="9"/>
  <c r="M123" i="8" s="1"/>
  <c r="I16" i="2" s="1"/>
  <c r="U384" i="9"/>
  <c r="U383" i="9"/>
  <c r="U382" i="9"/>
  <c r="M122" i="8" s="1"/>
  <c r="I177" i="2" s="1"/>
  <c r="U381" i="9"/>
  <c r="M121" i="8" s="1"/>
  <c r="I45" i="2" s="1"/>
  <c r="U380" i="9"/>
  <c r="U379" i="9"/>
  <c r="M120" i="8" s="1"/>
  <c r="I174" i="2" s="1"/>
  <c r="U378" i="9"/>
  <c r="U377" i="9"/>
  <c r="M119" i="8" s="1"/>
  <c r="I173" i="2" s="1"/>
  <c r="U376" i="9"/>
  <c r="U375" i="9"/>
  <c r="M118" i="8" s="1"/>
  <c r="I133" i="2" s="1"/>
  <c r="U374" i="9"/>
  <c r="M117" i="8" s="1"/>
  <c r="I112" i="2" s="1"/>
  <c r="U373" i="9"/>
  <c r="U372" i="9"/>
  <c r="M116" i="8" s="1"/>
  <c r="I67" i="2" s="1"/>
  <c r="U371" i="9"/>
  <c r="U370" i="9"/>
  <c r="M115" i="8" s="1"/>
  <c r="I32" i="2" s="1"/>
  <c r="U369" i="9"/>
  <c r="M114" i="8" s="1"/>
  <c r="I163" i="2" s="1"/>
  <c r="U368" i="9"/>
  <c r="U367" i="9"/>
  <c r="M113" i="8" s="1"/>
  <c r="I89" i="2" s="1"/>
  <c r="U366" i="9"/>
  <c r="U365" i="9"/>
  <c r="M112" i="8" s="1"/>
  <c r="I190" i="2" s="1"/>
  <c r="U364" i="9"/>
  <c r="U363" i="9"/>
  <c r="U362" i="9"/>
  <c r="M111" i="8" s="1"/>
  <c r="I11" i="2" s="1"/>
  <c r="U361" i="9"/>
  <c r="U360" i="9"/>
  <c r="U359" i="9"/>
  <c r="M110" i="8" s="1"/>
  <c r="I8" i="2" s="1"/>
  <c r="U358" i="9"/>
  <c r="U357" i="9"/>
  <c r="M109" i="8" s="1"/>
  <c r="I102" i="2" s="1"/>
  <c r="U356" i="9"/>
  <c r="U355" i="9"/>
  <c r="M108" i="8" s="1"/>
  <c r="I69" i="2" s="1"/>
  <c r="U354" i="9"/>
  <c r="U353" i="9"/>
  <c r="M107" i="8" s="1"/>
  <c r="I87" i="2" s="1"/>
  <c r="U352" i="9"/>
  <c r="U351" i="9"/>
  <c r="M106" i="8" s="1"/>
  <c r="I52" i="2" s="1"/>
  <c r="U350" i="9"/>
  <c r="M105" i="8" s="1"/>
  <c r="I199" i="2" s="1"/>
  <c r="U349" i="9"/>
  <c r="U348" i="9"/>
  <c r="M104" i="8" s="1"/>
  <c r="I193" i="2" s="1"/>
  <c r="U347" i="9"/>
  <c r="U346" i="9"/>
  <c r="M103" i="8" s="1"/>
  <c r="I77" i="2" s="1"/>
  <c r="U345" i="9"/>
  <c r="U344" i="9"/>
  <c r="M102" i="8" s="1"/>
  <c r="I125" i="2" s="1"/>
  <c r="U343" i="9"/>
  <c r="U342" i="9"/>
  <c r="M101" i="8" s="1"/>
  <c r="I137" i="2" s="1"/>
  <c r="U341" i="9"/>
  <c r="U340" i="9"/>
  <c r="U339" i="9"/>
  <c r="U338" i="9"/>
  <c r="M100" i="8" s="1"/>
  <c r="I179" i="2" s="1"/>
  <c r="U337" i="9"/>
  <c r="U336" i="9"/>
  <c r="U335" i="9"/>
  <c r="M99" i="8" s="1"/>
  <c r="I182" i="2" s="1"/>
  <c r="U334" i="9"/>
  <c r="U333" i="9"/>
  <c r="U332" i="9"/>
  <c r="M98" i="8" s="1"/>
  <c r="I38" i="2" s="1"/>
  <c r="U331" i="9"/>
  <c r="U330" i="9"/>
  <c r="M97" i="8" s="1"/>
  <c r="I53" i="2" s="1"/>
  <c r="U329" i="9"/>
  <c r="U328" i="9"/>
  <c r="M96" i="8" s="1"/>
  <c r="I116" i="2" s="1"/>
  <c r="U327" i="9"/>
  <c r="U326" i="9"/>
  <c r="M95" i="8" s="1"/>
  <c r="I181" i="2" s="1"/>
  <c r="U325" i="9"/>
  <c r="U324" i="9"/>
  <c r="M94" i="8" s="1"/>
  <c r="I180" i="2" s="1"/>
  <c r="U323" i="9"/>
  <c r="U322" i="9"/>
  <c r="M93" i="8" s="1"/>
  <c r="I81" i="2" s="1"/>
  <c r="U321" i="9"/>
  <c r="U320" i="9"/>
  <c r="M92" i="8" s="1"/>
  <c r="I117" i="2" s="1"/>
  <c r="U319" i="9"/>
  <c r="U318" i="9"/>
  <c r="U317" i="9"/>
  <c r="M91" i="8" s="1"/>
  <c r="I131" i="2" s="1"/>
  <c r="U316" i="9"/>
  <c r="U315" i="9"/>
  <c r="M90" i="8" s="1"/>
  <c r="I165" i="2" s="1"/>
  <c r="U314" i="9"/>
  <c r="U313" i="9"/>
  <c r="M89" i="8" s="1"/>
  <c r="I115" i="2" s="1"/>
  <c r="U312" i="9"/>
  <c r="U311" i="9"/>
  <c r="M88" i="8" s="1"/>
  <c r="I30" i="2" s="1"/>
  <c r="U310" i="9"/>
  <c r="M87" i="8" s="1"/>
  <c r="I80" i="2" s="1"/>
  <c r="U309" i="9"/>
  <c r="U308" i="9"/>
  <c r="M86" i="8" s="1"/>
  <c r="I37" i="2" s="1"/>
  <c r="U307" i="9"/>
  <c r="U306" i="9"/>
  <c r="M85" i="8" s="1"/>
  <c r="I139" i="2" s="1"/>
  <c r="U305" i="9"/>
  <c r="U304" i="9"/>
  <c r="M84" i="8" s="1"/>
  <c r="I109" i="2" s="1"/>
  <c r="U303" i="9"/>
  <c r="U302" i="9"/>
  <c r="U301" i="9"/>
  <c r="M83" i="8" s="1"/>
  <c r="I155" i="2" s="1"/>
  <c r="U300" i="9"/>
  <c r="U299" i="9"/>
  <c r="U298" i="9"/>
  <c r="M82" i="8" s="1"/>
  <c r="I21" i="2" s="1"/>
  <c r="U297" i="9"/>
  <c r="U296" i="9"/>
  <c r="M81" i="8" s="1"/>
  <c r="I140" i="2" s="1"/>
  <c r="R295" i="9"/>
  <c r="S295" i="9" s="1"/>
  <c r="U295" i="9"/>
  <c r="U294" i="9"/>
  <c r="U293" i="9"/>
  <c r="U292" i="9"/>
  <c r="M80" i="8" s="1"/>
  <c r="I192" i="2" s="1"/>
  <c r="U291" i="9"/>
  <c r="U290" i="9"/>
  <c r="U289" i="9"/>
  <c r="U288" i="9"/>
  <c r="M79" i="8" s="1"/>
  <c r="I158" i="2" s="1"/>
  <c r="U287" i="9"/>
  <c r="M78" i="8" s="1"/>
  <c r="I134" i="2" s="1"/>
  <c r="U286" i="9"/>
  <c r="M77" i="8" s="1"/>
  <c r="I136" i="2" s="1"/>
  <c r="U285" i="9"/>
  <c r="U284" i="9"/>
  <c r="M76" i="8" s="1"/>
  <c r="I188" i="2" s="1"/>
  <c r="U283" i="9"/>
  <c r="U282" i="9"/>
  <c r="U281" i="9"/>
  <c r="U280" i="9"/>
  <c r="U279" i="9"/>
  <c r="M75" i="8" s="1"/>
  <c r="I183" i="2" s="1"/>
  <c r="U278" i="9"/>
  <c r="U277" i="9"/>
  <c r="M74" i="8" s="1"/>
  <c r="I93" i="2" s="1"/>
  <c r="U276" i="9"/>
  <c r="M73" i="8" s="1"/>
  <c r="I151" i="2" s="1"/>
  <c r="U275" i="9"/>
  <c r="U274" i="9"/>
  <c r="U273" i="9"/>
  <c r="U272" i="9"/>
  <c r="M72" i="8" s="1"/>
  <c r="I98" i="2" s="1"/>
  <c r="U271" i="9"/>
  <c r="U270" i="9"/>
  <c r="U269" i="9"/>
  <c r="M71" i="8" s="1"/>
  <c r="I47" i="2" s="1"/>
  <c r="U268" i="9"/>
  <c r="R267" i="9"/>
  <c r="S267" i="9" s="1"/>
  <c r="U267" i="9"/>
  <c r="M70" i="8" s="1"/>
  <c r="I171" i="2" s="1"/>
  <c r="U266" i="9"/>
  <c r="U265" i="9"/>
  <c r="U264" i="9"/>
  <c r="U263" i="9"/>
  <c r="U262" i="9"/>
  <c r="U261" i="9"/>
  <c r="U260" i="9"/>
  <c r="U259" i="9"/>
  <c r="U258" i="9"/>
  <c r="U257" i="9"/>
  <c r="U256" i="9"/>
  <c r="U255" i="9"/>
  <c r="M68" i="8" s="1"/>
  <c r="I56" i="2" s="1"/>
  <c r="U254" i="9"/>
  <c r="U253" i="9"/>
  <c r="U252" i="9"/>
  <c r="M67" i="8" s="1"/>
  <c r="I96" i="2" s="1"/>
  <c r="U251" i="9"/>
  <c r="U250" i="9"/>
  <c r="U249" i="9"/>
  <c r="M66" i="8" s="1"/>
  <c r="I27" i="2" s="1"/>
  <c r="U248" i="9"/>
  <c r="U247" i="9"/>
  <c r="M65" i="8" s="1"/>
  <c r="I28" i="2" s="1"/>
  <c r="U246" i="9"/>
  <c r="M64" i="8" s="1"/>
  <c r="I191" i="2" s="1"/>
  <c r="H189" i="2"/>
  <c r="U245" i="9"/>
  <c r="M63" i="8" s="1"/>
  <c r="U244" i="9"/>
  <c r="U243" i="9"/>
  <c r="U242" i="9"/>
  <c r="U241" i="9"/>
  <c r="U240" i="9"/>
  <c r="U239" i="9"/>
  <c r="U238" i="9"/>
  <c r="M62" i="8" s="1"/>
  <c r="I22" i="2" s="1"/>
  <c r="R237" i="9"/>
  <c r="S237" i="9" s="1"/>
  <c r="U237" i="9"/>
  <c r="R236" i="9"/>
  <c r="S236" i="9" s="1"/>
  <c r="U236" i="9"/>
  <c r="U235" i="9"/>
  <c r="U234" i="9"/>
  <c r="U233" i="9"/>
  <c r="U232" i="9"/>
  <c r="U231" i="9"/>
  <c r="U230" i="9"/>
  <c r="U229" i="9"/>
  <c r="U228" i="9"/>
  <c r="M61" i="8" s="1"/>
  <c r="I33" i="2" s="1"/>
  <c r="U227" i="9"/>
  <c r="U226" i="9"/>
  <c r="U225" i="9"/>
  <c r="M60" i="8" s="1"/>
  <c r="I90" i="2" s="1"/>
  <c r="U224" i="9"/>
  <c r="U223" i="9"/>
  <c r="M59" i="8" s="1"/>
  <c r="I138" i="2" s="1"/>
  <c r="U222" i="9"/>
  <c r="R221" i="9"/>
  <c r="S221" i="9" s="1"/>
  <c r="U221" i="9"/>
  <c r="R220" i="9"/>
  <c r="S220" i="9" s="1"/>
  <c r="U220" i="9"/>
  <c r="M58" i="8" s="1"/>
  <c r="I64" i="2" s="1"/>
  <c r="U219" i="9"/>
  <c r="U218" i="9"/>
  <c r="U217" i="9"/>
  <c r="U216" i="9"/>
  <c r="M57" i="8" s="1"/>
  <c r="I135" i="2" s="1"/>
  <c r="U215" i="9"/>
  <c r="U214" i="9"/>
  <c r="U213" i="9"/>
  <c r="U212" i="9"/>
  <c r="U211" i="9"/>
  <c r="M56" i="8" s="1"/>
  <c r="I20" i="2" s="1"/>
  <c r="U210" i="9"/>
  <c r="U209" i="9"/>
  <c r="M55" i="8" s="1"/>
  <c r="I172" i="2" s="1"/>
  <c r="R208" i="9"/>
  <c r="S208" i="9" s="1"/>
  <c r="U208" i="9"/>
  <c r="U207" i="9"/>
  <c r="R206" i="9"/>
  <c r="S206" i="9" s="1"/>
  <c r="U206" i="9"/>
  <c r="M54" i="8" s="1"/>
  <c r="I85" i="2" s="1"/>
  <c r="R205" i="9"/>
  <c r="S205" i="9" s="1"/>
  <c r="U205" i="9"/>
  <c r="U204" i="9"/>
  <c r="R203" i="9"/>
  <c r="S203" i="9" s="1"/>
  <c r="U203" i="9"/>
  <c r="M53" i="8" s="1"/>
  <c r="I128" i="2" s="1"/>
  <c r="U202" i="9"/>
  <c r="U201" i="9"/>
  <c r="U200" i="9"/>
  <c r="U199" i="9"/>
  <c r="M52" i="8" s="1"/>
  <c r="I18" i="2" s="1"/>
  <c r="U198" i="9"/>
  <c r="U197" i="9"/>
  <c r="U196" i="9"/>
  <c r="U195" i="9"/>
  <c r="U194" i="9"/>
  <c r="U193" i="9"/>
  <c r="M51" i="8" s="1"/>
  <c r="I118" i="2" s="1"/>
  <c r="U192" i="9"/>
  <c r="U191" i="9"/>
  <c r="U190" i="9"/>
  <c r="U189" i="9"/>
  <c r="U188" i="9"/>
  <c r="U187" i="9"/>
  <c r="M50" i="8" s="1"/>
  <c r="I68" i="2" s="1"/>
  <c r="U186" i="9"/>
  <c r="U185" i="9"/>
  <c r="U184" i="9"/>
  <c r="U183" i="9"/>
  <c r="M49" i="8" s="1"/>
  <c r="I79" i="2" s="1"/>
  <c r="U182" i="9"/>
  <c r="U181" i="9"/>
  <c r="U180" i="9"/>
  <c r="M48" i="8" s="1"/>
  <c r="I62" i="2" s="1"/>
  <c r="U179" i="9"/>
  <c r="U178" i="9"/>
  <c r="U177" i="9"/>
  <c r="U176" i="9"/>
  <c r="M47" i="8" s="1"/>
  <c r="I43" i="2" s="1"/>
  <c r="U175" i="9"/>
  <c r="U174" i="9"/>
  <c r="U173" i="9"/>
  <c r="M46" i="8" s="1"/>
  <c r="I36" i="2" s="1"/>
  <c r="U172" i="9"/>
  <c r="U171" i="9"/>
  <c r="U170" i="9"/>
  <c r="U169" i="9"/>
  <c r="U168" i="9"/>
  <c r="U167" i="9"/>
  <c r="U166" i="9"/>
  <c r="U165" i="9"/>
  <c r="U164" i="9"/>
  <c r="M44" i="8" s="1"/>
  <c r="I55" i="2" s="1"/>
  <c r="U163" i="9"/>
  <c r="M43" i="8" s="1"/>
  <c r="I92" i="2" s="1"/>
  <c r="U162" i="9"/>
  <c r="M42" i="8" s="1"/>
  <c r="I175" i="2" s="1"/>
  <c r="U161" i="9"/>
  <c r="U160" i="9"/>
  <c r="U159" i="9"/>
  <c r="U158" i="9"/>
  <c r="U157" i="9"/>
  <c r="U156" i="9"/>
  <c r="M41" i="8" s="1"/>
  <c r="I17" i="2" s="1"/>
  <c r="U155" i="9"/>
  <c r="U154" i="9"/>
  <c r="M40" i="8" s="1"/>
  <c r="I91" i="2" s="1"/>
  <c r="U153" i="9"/>
  <c r="U152" i="9"/>
  <c r="U151" i="9"/>
  <c r="U150" i="9"/>
  <c r="U149" i="9"/>
  <c r="U148" i="9"/>
  <c r="U147" i="9"/>
  <c r="M39" i="8" s="1"/>
  <c r="I14" i="2" s="1"/>
  <c r="U146" i="9"/>
  <c r="U145" i="9"/>
  <c r="U144" i="9"/>
  <c r="U143" i="9"/>
  <c r="U142" i="9"/>
  <c r="U141" i="9"/>
  <c r="U140" i="9"/>
  <c r="M38" i="8" s="1"/>
  <c r="I13" i="2" s="1"/>
  <c r="U139" i="9"/>
  <c r="M37" i="8" s="1"/>
  <c r="I161" i="2" s="1"/>
  <c r="U138" i="9"/>
  <c r="M36" i="8" s="1"/>
  <c r="I157" i="2" s="1"/>
  <c r="U137" i="9"/>
  <c r="U136" i="9"/>
  <c r="U135" i="9"/>
  <c r="U134" i="9"/>
  <c r="M35" i="8" s="1"/>
  <c r="I176" i="2" s="1"/>
  <c r="U133" i="9"/>
  <c r="M34" i="8" s="1"/>
  <c r="I61" i="2" s="1"/>
  <c r="U132" i="9"/>
  <c r="M33" i="8" s="1"/>
  <c r="I114" i="2" s="1"/>
  <c r="U131" i="9"/>
  <c r="U130" i="9"/>
  <c r="U129" i="9"/>
  <c r="U128" i="9"/>
  <c r="U127" i="9"/>
  <c r="M32" i="8" s="1"/>
  <c r="I35" i="2" s="1"/>
  <c r="U126" i="9"/>
  <c r="M31" i="8" s="1"/>
  <c r="I146" i="2" s="1"/>
  <c r="U125" i="9"/>
  <c r="U124" i="9"/>
  <c r="U123" i="9"/>
  <c r="U122" i="9"/>
  <c r="U121" i="9"/>
  <c r="M30" i="8" s="1"/>
  <c r="I10" i="2" s="1"/>
  <c r="U120" i="9"/>
  <c r="U119" i="9"/>
  <c r="U118" i="9"/>
  <c r="U117" i="9"/>
  <c r="M29" i="8" s="1"/>
  <c r="I46" i="2" s="1"/>
  <c r="U116" i="9"/>
  <c r="U115" i="9"/>
  <c r="U114" i="9"/>
  <c r="U113" i="9"/>
  <c r="U112" i="9"/>
  <c r="M28" i="8" s="1"/>
  <c r="I12" i="2" s="1"/>
  <c r="U111" i="9"/>
  <c r="U110" i="9"/>
  <c r="M27" i="8" s="1"/>
  <c r="I74" i="2" s="1"/>
  <c r="U109" i="9"/>
  <c r="U108" i="9"/>
  <c r="U107" i="9"/>
  <c r="U106" i="9"/>
  <c r="M26" i="8" s="1"/>
  <c r="I23" i="2" s="1"/>
  <c r="U105" i="9"/>
  <c r="U104" i="9"/>
  <c r="M25" i="8" s="1"/>
  <c r="I65" i="2" s="1"/>
  <c r="U103" i="9"/>
  <c r="U102" i="9"/>
  <c r="U101" i="9"/>
  <c r="U100" i="9"/>
  <c r="M24" i="8" s="1"/>
  <c r="I167" i="2" s="1"/>
  <c r="U99" i="9"/>
  <c r="U98" i="9"/>
  <c r="U97" i="9"/>
  <c r="U96" i="9"/>
  <c r="M23" i="8" s="1"/>
  <c r="I100" i="2" s="1"/>
  <c r="U95" i="9"/>
  <c r="U94" i="9"/>
  <c r="M22" i="8" s="1"/>
  <c r="I83" i="2" s="1"/>
  <c r="U93" i="9"/>
  <c r="U92" i="9"/>
  <c r="M21" i="8" s="1"/>
  <c r="I105" i="2" s="1"/>
  <c r="U91" i="9"/>
  <c r="U90" i="9"/>
  <c r="M20" i="8" s="1"/>
  <c r="I103" i="2" s="1"/>
  <c r="U89" i="9"/>
  <c r="U88" i="9"/>
  <c r="U87" i="9"/>
  <c r="U86" i="9"/>
  <c r="M19" i="8" s="1"/>
  <c r="I72" i="2" s="1"/>
  <c r="U84" i="9"/>
  <c r="U83" i="9"/>
  <c r="M18" i="8" s="1"/>
  <c r="I108" i="2" s="1"/>
  <c r="U82" i="9"/>
  <c r="U81" i="9"/>
  <c r="U80" i="9"/>
  <c r="M17" i="8" s="1"/>
  <c r="I107" i="2" s="1"/>
  <c r="U79" i="9"/>
  <c r="U78" i="9"/>
  <c r="U77" i="9"/>
  <c r="U76" i="9"/>
  <c r="U75" i="9"/>
  <c r="U74" i="9"/>
  <c r="M15" i="8" s="1"/>
  <c r="I39" i="2" s="1"/>
  <c r="U73" i="9"/>
  <c r="U72" i="9"/>
  <c r="U71" i="9"/>
  <c r="U70" i="9"/>
  <c r="M14" i="8" s="1"/>
  <c r="I86" i="2" s="1"/>
  <c r="U69" i="9"/>
  <c r="U68" i="9"/>
  <c r="U67" i="9"/>
  <c r="U66" i="9"/>
  <c r="U65" i="9"/>
  <c r="U64" i="9"/>
  <c r="M13" i="8" s="1"/>
  <c r="I7" i="2" s="1"/>
  <c r="U63" i="9"/>
  <c r="U62" i="9"/>
  <c r="U61" i="9"/>
  <c r="U60" i="9"/>
  <c r="M12" i="8" s="1"/>
  <c r="I9" i="2" s="1"/>
  <c r="U59" i="9"/>
  <c r="U58" i="9"/>
  <c r="U57" i="9"/>
  <c r="U56" i="9"/>
  <c r="U55" i="9"/>
  <c r="U54" i="9"/>
  <c r="U53" i="9"/>
  <c r="M11" i="8" s="1"/>
  <c r="I60" i="2" s="1"/>
  <c r="U52" i="9"/>
  <c r="U51" i="9"/>
  <c r="U50" i="9"/>
  <c r="U49" i="9"/>
  <c r="U48" i="9"/>
  <c r="U47" i="9"/>
  <c r="U46" i="9"/>
  <c r="U45" i="9"/>
  <c r="U44" i="9"/>
  <c r="U43" i="9"/>
  <c r="U42" i="9"/>
  <c r="U41" i="9"/>
  <c r="U40" i="9"/>
  <c r="U39" i="9"/>
  <c r="U38" i="9"/>
  <c r="M10" i="8" s="1"/>
  <c r="I119" i="2" s="1"/>
  <c r="U37" i="9"/>
  <c r="U36" i="9"/>
  <c r="U35" i="9"/>
  <c r="U34" i="9"/>
  <c r="U33" i="9"/>
  <c r="U32" i="9"/>
  <c r="U31" i="9"/>
  <c r="U30" i="9"/>
  <c r="U29" i="9"/>
  <c r="M9" i="8" s="1"/>
  <c r="I82" i="2" s="1"/>
  <c r="U28" i="9"/>
  <c r="U27" i="9"/>
  <c r="U26" i="9"/>
  <c r="U25" i="9"/>
  <c r="U24" i="9"/>
  <c r="U23" i="9"/>
  <c r="U22" i="9"/>
  <c r="M8" i="8" s="1"/>
  <c r="I24" i="2" s="1"/>
  <c r="U21" i="9"/>
  <c r="U20" i="9"/>
  <c r="U19" i="9"/>
  <c r="U18" i="9"/>
  <c r="U17" i="9"/>
  <c r="U16" i="9"/>
  <c r="U15" i="9"/>
  <c r="M7" i="8" s="1"/>
  <c r="I41" i="2" s="1"/>
  <c r="U14" i="9"/>
  <c r="U13" i="9"/>
  <c r="U12" i="9"/>
  <c r="U11" i="9"/>
  <c r="U10" i="9"/>
  <c r="U9" i="9"/>
  <c r="U8" i="9"/>
  <c r="M6" i="8" s="1"/>
  <c r="I6" i="2" s="1"/>
  <c r="U7" i="9"/>
  <c r="U6" i="9"/>
  <c r="U5" i="9"/>
  <c r="U4" i="9"/>
  <c r="U3" i="9"/>
  <c r="H5" i="2"/>
  <c r="U2" i="9"/>
  <c r="M5" i="8" s="1"/>
  <c r="I40" i="8"/>
  <c r="J40" i="8"/>
  <c r="L75" i="2"/>
  <c r="X75" i="2"/>
  <c r="L184" i="2"/>
  <c r="X184" i="2"/>
  <c r="I204" i="8"/>
  <c r="AE166" i="4"/>
  <c r="AG166" i="4"/>
  <c r="M131" i="2"/>
  <c r="P131" i="2" s="1"/>
  <c r="W131" i="2"/>
  <c r="AE157" i="4"/>
  <c r="AG157" i="4"/>
  <c r="M74" i="2"/>
  <c r="P74" i="2" s="1"/>
  <c r="W74" i="2"/>
  <c r="AG189" i="4"/>
  <c r="AE189" i="4"/>
  <c r="M187" i="2"/>
  <c r="P187" i="2" s="1"/>
  <c r="W187" i="2"/>
  <c r="M58" i="2"/>
  <c r="P58" i="2" s="1"/>
  <c r="W58" i="2"/>
  <c r="AG45" i="4"/>
  <c r="AE45" i="4"/>
  <c r="M62" i="2"/>
  <c r="P62" i="2" s="1"/>
  <c r="W62" i="2"/>
  <c r="AE75" i="4"/>
  <c r="AG75" i="4"/>
  <c r="AE19" i="4"/>
  <c r="AG19" i="4"/>
  <c r="M9" i="2"/>
  <c r="P9" i="2" s="1"/>
  <c r="W9" i="2"/>
  <c r="AG117" i="4"/>
  <c r="AE117" i="4"/>
  <c r="M145" i="2"/>
  <c r="P145" i="2" s="1"/>
  <c r="W145" i="2"/>
  <c r="M144" i="2"/>
  <c r="P144" i="2" s="1"/>
  <c r="W144" i="2"/>
  <c r="AE116" i="4"/>
  <c r="AG116" i="4"/>
  <c r="AG83" i="4"/>
  <c r="AE83" i="4"/>
  <c r="M94" i="2"/>
  <c r="P94" i="2" s="1"/>
  <c r="W94" i="2"/>
  <c r="AE17" i="4"/>
  <c r="AG17" i="4"/>
  <c r="M14" i="2"/>
  <c r="P14" i="2" s="1"/>
  <c r="W14" i="2"/>
  <c r="AE35" i="4"/>
  <c r="AG35" i="4"/>
  <c r="M38" i="2"/>
  <c r="P38" i="2" s="1"/>
  <c r="W38" i="2"/>
  <c r="AE16" i="4"/>
  <c r="AG16" i="4"/>
  <c r="M13" i="2"/>
  <c r="P13" i="2" s="1"/>
  <c r="W13" i="2"/>
  <c r="AE178" i="4"/>
  <c r="AG178" i="4"/>
  <c r="M156" i="2"/>
  <c r="P156" i="2" s="1"/>
  <c r="W156" i="2"/>
  <c r="AE29" i="4"/>
  <c r="AG29" i="4"/>
  <c r="M26" i="2"/>
  <c r="P26" i="2" s="1"/>
  <c r="W26" i="2"/>
  <c r="M67" i="2"/>
  <c r="P67" i="2" s="1"/>
  <c r="W67" i="2"/>
  <c r="AG69" i="4"/>
  <c r="AE69" i="4"/>
  <c r="AE43" i="4"/>
  <c r="AG43" i="4"/>
  <c r="M59" i="2"/>
  <c r="P59" i="2" s="1"/>
  <c r="W59" i="2"/>
  <c r="AE158" i="4"/>
  <c r="AG158" i="4"/>
  <c r="M96" i="2"/>
  <c r="P96" i="2" s="1"/>
  <c r="W96" i="2"/>
  <c r="AE26" i="4"/>
  <c r="AG26" i="4"/>
  <c r="M27" i="2"/>
  <c r="P27" i="2" s="1"/>
  <c r="W27" i="2"/>
  <c r="AE56" i="4"/>
  <c r="AG56" i="4"/>
  <c r="M52" i="2"/>
  <c r="P52" i="2" s="1"/>
  <c r="W52" i="2"/>
  <c r="AE32" i="4"/>
  <c r="AG32" i="4"/>
  <c r="M28" i="2"/>
  <c r="P28" i="2" s="1"/>
  <c r="W28" i="2"/>
  <c r="AE13" i="4"/>
  <c r="AG13" i="4"/>
  <c r="M15" i="2"/>
  <c r="P15" i="2" s="1"/>
  <c r="W15" i="2"/>
  <c r="AE11" i="4"/>
  <c r="AG11" i="4"/>
  <c r="M10" i="2"/>
  <c r="P10" i="2" s="1"/>
  <c r="W10" i="2"/>
  <c r="AG60" i="4"/>
  <c r="AE60" i="4"/>
  <c r="M46" i="2"/>
  <c r="P46" i="2" s="1"/>
  <c r="W46" i="2"/>
  <c r="M152" i="2"/>
  <c r="P152" i="2" s="1"/>
  <c r="W152" i="2"/>
  <c r="AE175" i="4"/>
  <c r="AG175" i="4"/>
  <c r="AG82" i="4"/>
  <c r="AE82" i="4"/>
  <c r="M73" i="2"/>
  <c r="P73" i="2" s="1"/>
  <c r="W73" i="2"/>
  <c r="AE33" i="4"/>
  <c r="AG33" i="4"/>
  <c r="M29" i="2"/>
  <c r="P29" i="2" s="1"/>
  <c r="W29" i="2"/>
  <c r="AE153" i="4"/>
  <c r="AG153" i="4"/>
  <c r="M181" i="2"/>
  <c r="P181" i="2" s="1"/>
  <c r="W181" i="2"/>
  <c r="AE152" i="4"/>
  <c r="AG152" i="4"/>
  <c r="M180" i="2"/>
  <c r="P180" i="2" s="1"/>
  <c r="W180" i="2"/>
  <c r="AE136" i="4"/>
  <c r="AG136" i="4"/>
  <c r="M167" i="2"/>
  <c r="P167" i="2" s="1"/>
  <c r="W167" i="2"/>
  <c r="AE164" i="4"/>
  <c r="AG164" i="4"/>
  <c r="M142" i="2"/>
  <c r="P142" i="2" s="1"/>
  <c r="W142" i="2"/>
  <c r="M106" i="2"/>
  <c r="P106" i="2" s="1"/>
  <c r="W106" i="2"/>
  <c r="AG68" i="4"/>
  <c r="AE68" i="4"/>
  <c r="M76" i="2"/>
  <c r="P76" i="2" s="1"/>
  <c r="W76" i="2"/>
  <c r="AE54" i="4"/>
  <c r="AG54" i="4"/>
  <c r="AE20" i="4"/>
  <c r="AG20" i="4"/>
  <c r="M34" i="2"/>
  <c r="P34" i="2" s="1"/>
  <c r="W34" i="2"/>
  <c r="AE14" i="4"/>
  <c r="AG14" i="4"/>
  <c r="M19" i="2"/>
  <c r="P19" i="2" s="1"/>
  <c r="W19" i="2"/>
  <c r="AE41" i="4"/>
  <c r="AG41" i="4"/>
  <c r="M23" i="2"/>
  <c r="P23" i="2" s="1"/>
  <c r="W23" i="2"/>
  <c r="AE40" i="4"/>
  <c r="AG40" i="4"/>
  <c r="M54" i="2"/>
  <c r="P54" i="2" s="1"/>
  <c r="W54" i="2"/>
  <c r="M149" i="2"/>
  <c r="P149" i="2" s="1"/>
  <c r="W149" i="2"/>
  <c r="AE174" i="4"/>
  <c r="AG174" i="4"/>
  <c r="AG84" i="4"/>
  <c r="AE84" i="4"/>
  <c r="M95" i="2"/>
  <c r="P95" i="2" s="1"/>
  <c r="W95" i="2"/>
  <c r="AE15" i="4"/>
  <c r="AG15" i="4"/>
  <c r="M17" i="2"/>
  <c r="P17" i="2" s="1"/>
  <c r="W17" i="2"/>
  <c r="AE18" i="4"/>
  <c r="AG18" i="4"/>
  <c r="M12" i="2"/>
  <c r="P12" i="2" s="1"/>
  <c r="W12" i="2"/>
  <c r="AE44" i="4"/>
  <c r="AG44" i="4"/>
  <c r="M35" i="2"/>
  <c r="P35" i="2" s="1"/>
  <c r="W35" i="2"/>
  <c r="AE149" i="4"/>
  <c r="AG149" i="4"/>
  <c r="M172" i="2"/>
  <c r="P172" i="2" s="1"/>
  <c r="W172" i="2"/>
  <c r="AE38" i="4"/>
  <c r="AG38" i="4"/>
  <c r="M49" i="2"/>
  <c r="P49" i="2" s="1"/>
  <c r="W49" i="2"/>
  <c r="AE146" i="4"/>
  <c r="AG146" i="4"/>
  <c r="M186" i="2"/>
  <c r="P186" i="2" s="1"/>
  <c r="W186" i="2"/>
  <c r="AE34" i="4"/>
  <c r="AG34" i="4"/>
  <c r="M20" i="2"/>
  <c r="P20" i="2" s="1"/>
  <c r="W20" i="2"/>
  <c r="AE140" i="4"/>
  <c r="AG140" i="4"/>
  <c r="M169" i="2"/>
  <c r="P169" i="2" s="1"/>
  <c r="W169" i="2"/>
  <c r="AE151" i="4"/>
  <c r="AG151" i="4"/>
  <c r="M188" i="2"/>
  <c r="P188" i="2" s="1"/>
  <c r="W188" i="2"/>
  <c r="AE89" i="4"/>
  <c r="AG89" i="4"/>
  <c r="M98" i="2"/>
  <c r="P98" i="2" s="1"/>
  <c r="W98" i="2"/>
  <c r="AE124" i="4"/>
  <c r="AG124" i="4"/>
  <c r="M115" i="2"/>
  <c r="P115" i="2" s="1"/>
  <c r="W115" i="2"/>
  <c r="AE133" i="4"/>
  <c r="AG133" i="4"/>
  <c r="M125" i="2"/>
  <c r="P125" i="2" s="1"/>
  <c r="W125" i="2"/>
  <c r="AE128" i="4"/>
  <c r="AG128" i="4"/>
  <c r="M117" i="2"/>
  <c r="P117" i="2" s="1"/>
  <c r="W117" i="2"/>
  <c r="M70" i="2"/>
  <c r="P70" i="2" s="1"/>
  <c r="W70" i="2"/>
  <c r="AE66" i="4"/>
  <c r="AG66" i="4"/>
  <c r="AE92" i="4"/>
  <c r="AG92" i="4"/>
  <c r="M79" i="2"/>
  <c r="P79" i="2" s="1"/>
  <c r="W79" i="2"/>
  <c r="M120" i="2"/>
  <c r="P120" i="2" s="1"/>
  <c r="W120" i="2"/>
  <c r="AG96" i="4"/>
  <c r="AE96" i="4"/>
  <c r="AG110" i="4"/>
  <c r="AE110" i="4"/>
  <c r="M127" i="2"/>
  <c r="P127" i="2" s="1"/>
  <c r="W127" i="2"/>
  <c r="AE114" i="4"/>
  <c r="AG114" i="4"/>
  <c r="M123" i="2"/>
  <c r="P123" i="2" s="1"/>
  <c r="W123" i="2"/>
  <c r="AE129" i="4"/>
  <c r="AG129" i="4"/>
  <c r="M136" i="2"/>
  <c r="P136" i="2" s="1"/>
  <c r="W136" i="2"/>
  <c r="AE109" i="4"/>
  <c r="AG109" i="4"/>
  <c r="M124" i="2"/>
  <c r="P124" i="2" s="1"/>
  <c r="W124" i="2"/>
  <c r="AE159" i="4"/>
  <c r="AG159" i="4"/>
  <c r="M100" i="2"/>
  <c r="P100" i="2" s="1"/>
  <c r="W100" i="2"/>
  <c r="AE101" i="4"/>
  <c r="AG101" i="4"/>
  <c r="M116" i="2"/>
  <c r="P116" i="2" s="1"/>
  <c r="W116" i="2"/>
  <c r="AG57" i="4"/>
  <c r="AE57" i="4"/>
  <c r="M30" i="2"/>
  <c r="P30" i="2" s="1"/>
  <c r="W30" i="2"/>
  <c r="M32" i="2"/>
  <c r="P32" i="2" s="1"/>
  <c r="W32" i="2"/>
  <c r="AE65" i="4"/>
  <c r="AG65" i="4"/>
  <c r="AE67" i="4"/>
  <c r="AG67" i="4"/>
  <c r="M66" i="2"/>
  <c r="P66" i="2" s="1"/>
  <c r="W66" i="2"/>
  <c r="AG53" i="4"/>
  <c r="AE53" i="4"/>
  <c r="M37" i="2"/>
  <c r="P37" i="2" s="1"/>
  <c r="W37" i="2"/>
  <c r="AG80" i="4"/>
  <c r="AE80" i="4"/>
  <c r="M71" i="2"/>
  <c r="P71" i="2" s="1"/>
  <c r="W71" i="2"/>
  <c r="AE64" i="4"/>
  <c r="AG64" i="4"/>
  <c r="M78" i="2"/>
  <c r="P78" i="2" s="1"/>
  <c r="W78" i="2"/>
  <c r="AG49" i="4"/>
  <c r="AE49" i="4"/>
  <c r="M40" i="2"/>
  <c r="P40" i="2" s="1"/>
  <c r="W40" i="2"/>
  <c r="AE48" i="4"/>
  <c r="AG48" i="4"/>
  <c r="M39" i="2"/>
  <c r="P39" i="2" s="1"/>
  <c r="W39" i="2"/>
  <c r="AG197" i="4"/>
  <c r="AE197" i="4"/>
  <c r="M197" i="2"/>
  <c r="P197" i="2" s="1"/>
  <c r="W197" i="2"/>
  <c r="AE6" i="4"/>
  <c r="AG6" i="4"/>
  <c r="AD201" i="4"/>
  <c r="D204" i="4" s="1"/>
  <c r="M5" i="2"/>
  <c r="W5" i="2"/>
  <c r="M68" i="2"/>
  <c r="P68" i="2" s="1"/>
  <c r="W68" i="2"/>
  <c r="AE59" i="4"/>
  <c r="AG59" i="4"/>
  <c r="AE160" i="4"/>
  <c r="AG160" i="4"/>
  <c r="M126" i="2"/>
  <c r="P126" i="2" s="1"/>
  <c r="W126" i="2"/>
  <c r="AE162" i="4"/>
  <c r="AG162" i="4"/>
  <c r="M132" i="2"/>
  <c r="P132" i="2" s="1"/>
  <c r="W132" i="2"/>
  <c r="AE138" i="4"/>
  <c r="AG138" i="4"/>
  <c r="M160" i="2"/>
  <c r="P160" i="2" s="1"/>
  <c r="W160" i="2"/>
  <c r="M118" i="2"/>
  <c r="P118" i="2" s="1"/>
  <c r="W118" i="2"/>
  <c r="AG104" i="4"/>
  <c r="AE104" i="4"/>
  <c r="AE137" i="4"/>
  <c r="AG137" i="4"/>
  <c r="M159" i="2"/>
  <c r="P159" i="2" s="1"/>
  <c r="W159" i="2"/>
  <c r="M119" i="2"/>
  <c r="P119" i="2" s="1"/>
  <c r="W119" i="2"/>
  <c r="AE108" i="4"/>
  <c r="AG108" i="4"/>
  <c r="M174" i="2"/>
  <c r="P174" i="2" s="1"/>
  <c r="W174" i="2"/>
  <c r="AG187" i="4"/>
  <c r="AE187" i="4"/>
  <c r="AE186" i="4"/>
  <c r="AG186" i="4"/>
  <c r="M173" i="2"/>
  <c r="P173" i="2" s="1"/>
  <c r="W173" i="2"/>
  <c r="AE126" i="4"/>
  <c r="AG126" i="4"/>
  <c r="M82" i="2"/>
  <c r="P82" i="2" s="1"/>
  <c r="W82" i="2"/>
  <c r="M130" i="2"/>
  <c r="P130" i="2" s="1"/>
  <c r="W130" i="2"/>
  <c r="AE112" i="4"/>
  <c r="AG112" i="4"/>
  <c r="AE127" i="4"/>
  <c r="AG127" i="4"/>
  <c r="M166" i="2"/>
  <c r="P166" i="2" s="1"/>
  <c r="W166" i="2"/>
  <c r="AE25" i="4"/>
  <c r="AG25" i="4"/>
  <c r="M42" i="2"/>
  <c r="P42" i="2" s="1"/>
  <c r="W42" i="2"/>
  <c r="AE103" i="4"/>
  <c r="AG103" i="4"/>
  <c r="M129" i="2"/>
  <c r="P129" i="2" s="1"/>
  <c r="W129" i="2"/>
  <c r="M141" i="2"/>
  <c r="P141" i="2" s="1"/>
  <c r="W141" i="2"/>
  <c r="AE168" i="4"/>
  <c r="AG168" i="4"/>
  <c r="AE193" i="4"/>
  <c r="AG193" i="4"/>
  <c r="M190" i="2"/>
  <c r="P190" i="2" s="1"/>
  <c r="W190" i="2"/>
  <c r="M198" i="2"/>
  <c r="P198" i="2" s="1"/>
  <c r="W198" i="2"/>
  <c r="AG195" i="4"/>
  <c r="AE195" i="4"/>
  <c r="M134" i="2"/>
  <c r="P134" i="2" s="1"/>
  <c r="W134" i="2"/>
  <c r="AE173" i="4"/>
  <c r="AG173" i="4"/>
  <c r="AE51" i="4"/>
  <c r="AG51" i="4"/>
  <c r="M57" i="2"/>
  <c r="P57" i="2" s="1"/>
  <c r="W57" i="2"/>
  <c r="M56" i="2"/>
  <c r="P56" i="2" s="1"/>
  <c r="W56" i="2"/>
  <c r="AE50" i="4"/>
  <c r="AG50" i="4"/>
  <c r="AG163" i="4"/>
  <c r="AE163" i="4"/>
  <c r="M133" i="2"/>
  <c r="P133" i="2" s="1"/>
  <c r="W133" i="2"/>
  <c r="M158" i="2"/>
  <c r="P158" i="2" s="1"/>
  <c r="W158" i="2"/>
  <c r="AE176" i="4"/>
  <c r="AG176" i="4"/>
  <c r="AE79" i="4"/>
  <c r="AG79" i="4"/>
  <c r="M99" i="2"/>
  <c r="P99" i="2" s="1"/>
  <c r="W99" i="2"/>
  <c r="AG88" i="4"/>
  <c r="AE88" i="4"/>
  <c r="M102" i="2"/>
  <c r="P102" i="2" s="1"/>
  <c r="W102" i="2"/>
  <c r="AE183" i="4"/>
  <c r="AG183" i="4"/>
  <c r="M170" i="2"/>
  <c r="P170" i="2" s="1"/>
  <c r="W170" i="2"/>
  <c r="M47" i="2"/>
  <c r="P47" i="2" s="1"/>
  <c r="W47" i="2"/>
  <c r="AG52" i="4"/>
  <c r="AE52" i="4"/>
  <c r="AE93" i="4"/>
  <c r="AG93" i="4"/>
  <c r="M93" i="2"/>
  <c r="P93" i="2" s="1"/>
  <c r="W93" i="2"/>
  <c r="AE31" i="4"/>
  <c r="AG31" i="4"/>
  <c r="M22" i="2"/>
  <c r="P22" i="2" s="1"/>
  <c r="W22" i="2"/>
  <c r="AE7" i="4"/>
  <c r="AG7" i="4"/>
  <c r="M8" i="2"/>
  <c r="P8" i="2" s="1"/>
  <c r="W8" i="2"/>
  <c r="AE12" i="4"/>
  <c r="AG12" i="4"/>
  <c r="M16" i="2"/>
  <c r="P16" i="2" s="1"/>
  <c r="W16" i="2"/>
  <c r="AE27" i="4"/>
  <c r="AG27" i="4"/>
  <c r="M33" i="2"/>
  <c r="P33" i="2" s="1"/>
  <c r="W33" i="2"/>
  <c r="AG107" i="4"/>
  <c r="AE107" i="4"/>
  <c r="M108" i="2"/>
  <c r="P108" i="2" s="1"/>
  <c r="W108" i="2"/>
  <c r="M107" i="2"/>
  <c r="P107" i="2" s="1"/>
  <c r="W107" i="2"/>
  <c r="AE106" i="4"/>
  <c r="AG106" i="4"/>
  <c r="AE87" i="4"/>
  <c r="AG87" i="4"/>
  <c r="M77" i="2"/>
  <c r="P77" i="2" s="1"/>
  <c r="W77" i="2"/>
  <c r="M111" i="2"/>
  <c r="P111" i="2" s="1"/>
  <c r="W111" i="2"/>
  <c r="AE97" i="4"/>
  <c r="AG97" i="4"/>
  <c r="AE78" i="4"/>
  <c r="AG78" i="4"/>
  <c r="M97" i="2"/>
  <c r="P97" i="2" s="1"/>
  <c r="W97" i="2"/>
  <c r="AE90" i="4"/>
  <c r="AG90" i="4"/>
  <c r="M72" i="2"/>
  <c r="P72" i="2" s="1"/>
  <c r="W72" i="2"/>
  <c r="M162" i="2"/>
  <c r="P162" i="2" s="1"/>
  <c r="W162" i="2"/>
  <c r="AE122" i="4"/>
  <c r="AG122" i="4"/>
  <c r="AE95" i="4"/>
  <c r="AG95" i="4"/>
  <c r="M110" i="2"/>
  <c r="P110" i="2" s="1"/>
  <c r="W110" i="2"/>
  <c r="AG74" i="4"/>
  <c r="AE74" i="4"/>
  <c r="M60" i="2"/>
  <c r="P60" i="2" s="1"/>
  <c r="W60" i="2"/>
  <c r="AG188" i="4"/>
  <c r="AE188" i="4"/>
  <c r="M178" i="2"/>
  <c r="P178" i="2" s="1"/>
  <c r="W178" i="2"/>
  <c r="AE130" i="4"/>
  <c r="AG130" i="4"/>
  <c r="M153" i="2"/>
  <c r="P153" i="2" s="1"/>
  <c r="W153" i="2"/>
  <c r="M135" i="2"/>
  <c r="P135" i="2" s="1"/>
  <c r="W135" i="2"/>
  <c r="AE179" i="4"/>
  <c r="AG179" i="4"/>
  <c r="AE91" i="4"/>
  <c r="AG91" i="4"/>
  <c r="M104" i="2"/>
  <c r="P104" i="2" s="1"/>
  <c r="W104" i="2"/>
  <c r="M81" i="2"/>
  <c r="P81" i="2" s="1"/>
  <c r="W81" i="2"/>
  <c r="AE73" i="4"/>
  <c r="AG73" i="4"/>
  <c r="AE24" i="4"/>
  <c r="AG24" i="4"/>
  <c r="M18" i="2"/>
  <c r="P18" i="2" s="1"/>
  <c r="W18" i="2"/>
  <c r="AE28" i="4"/>
  <c r="AG28" i="4"/>
  <c r="M25" i="2"/>
  <c r="P25" i="2" s="1"/>
  <c r="W25" i="2"/>
  <c r="AE63" i="4"/>
  <c r="AG63" i="4"/>
  <c r="M48" i="2"/>
  <c r="P48" i="2" s="1"/>
  <c r="W48" i="2"/>
  <c r="M36" i="2"/>
  <c r="P36" i="2" s="1"/>
  <c r="W36" i="2"/>
  <c r="AG42" i="4"/>
  <c r="AE42" i="4"/>
  <c r="AE62" i="4"/>
  <c r="AG62" i="4"/>
  <c r="M63" i="2"/>
  <c r="P63" i="2" s="1"/>
  <c r="W63" i="2"/>
  <c r="AE85" i="4"/>
  <c r="AG85" i="4"/>
  <c r="M86" i="2"/>
  <c r="P86" i="2" s="1"/>
  <c r="W86" i="2"/>
  <c r="M43" i="2"/>
  <c r="P43" i="2" s="1"/>
  <c r="W43" i="2"/>
  <c r="AG61" i="4"/>
  <c r="AE61" i="4"/>
  <c r="M53" i="2"/>
  <c r="P53" i="2" s="1"/>
  <c r="W53" i="2"/>
  <c r="AE47" i="4"/>
  <c r="AG47" i="4"/>
  <c r="AE10" i="4"/>
  <c r="AG10" i="4"/>
  <c r="M7" i="2"/>
  <c r="P7" i="2" s="1"/>
  <c r="W7" i="2"/>
  <c r="AE134" i="4"/>
  <c r="AG134" i="4"/>
  <c r="M165" i="2"/>
  <c r="P165" i="2" s="1"/>
  <c r="W165" i="2"/>
  <c r="AE165" i="4"/>
  <c r="AG165" i="4"/>
  <c r="M147" i="2"/>
  <c r="P147" i="2" s="1"/>
  <c r="W147" i="2"/>
  <c r="M101" i="2"/>
  <c r="P101" i="2" s="1"/>
  <c r="W101" i="2"/>
  <c r="AG102" i="4"/>
  <c r="AE102" i="4"/>
  <c r="AE9" i="4"/>
  <c r="AG9" i="4"/>
  <c r="M6" i="2"/>
  <c r="P6" i="2" s="1"/>
  <c r="W6" i="2"/>
  <c r="M41" i="2"/>
  <c r="P41" i="2" s="1"/>
  <c r="W41" i="2"/>
  <c r="AG58" i="4"/>
  <c r="AE58" i="4"/>
  <c r="AE23" i="4"/>
  <c r="AG23" i="4"/>
  <c r="M24" i="2"/>
  <c r="P24" i="2" s="1"/>
  <c r="W24" i="2"/>
  <c r="AE200" i="4"/>
  <c r="AG200" i="4"/>
  <c r="M191" i="2"/>
  <c r="P191" i="2" s="1"/>
  <c r="W191" i="2"/>
  <c r="AG199" i="4"/>
  <c r="AE199" i="4"/>
  <c r="M199" i="2"/>
  <c r="P199" i="2" s="1"/>
  <c r="W199" i="2"/>
  <c r="AG198" i="4"/>
  <c r="AE198" i="4"/>
  <c r="M189" i="2"/>
  <c r="P189" i="2" s="1"/>
  <c r="W189" i="2"/>
  <c r="AE196" i="4"/>
  <c r="AG196" i="4"/>
  <c r="M175" i="2"/>
  <c r="P175" i="2" s="1"/>
  <c r="W175" i="2"/>
  <c r="M196" i="2"/>
  <c r="P196" i="2" s="1"/>
  <c r="W196" i="2"/>
  <c r="AE194" i="4"/>
  <c r="AG194" i="4"/>
  <c r="M161" i="2"/>
  <c r="P161" i="2" s="1"/>
  <c r="W161" i="2"/>
  <c r="AE192" i="4"/>
  <c r="AG192" i="4"/>
  <c r="AE191" i="4"/>
  <c r="AG191" i="4"/>
  <c r="M157" i="2"/>
  <c r="P157" i="2" s="1"/>
  <c r="W157" i="2"/>
  <c r="M146" i="2"/>
  <c r="P146" i="2" s="1"/>
  <c r="W146" i="2"/>
  <c r="AE190" i="4"/>
  <c r="AG190" i="4"/>
  <c r="M151" i="2"/>
  <c r="P151" i="2" s="1"/>
  <c r="W151" i="2"/>
  <c r="AE185" i="4"/>
  <c r="AG185" i="4"/>
  <c r="M184" i="2"/>
  <c r="P184" i="2" s="1"/>
  <c r="W184" i="2"/>
  <c r="AG184" i="4"/>
  <c r="AE184" i="4"/>
  <c r="M164" i="2"/>
  <c r="P164" i="2" s="1"/>
  <c r="W164" i="2"/>
  <c r="AG182" i="4"/>
  <c r="AE182" i="4"/>
  <c r="AG181" i="4"/>
  <c r="AE181" i="4"/>
  <c r="M168" i="2"/>
  <c r="P168" i="2" s="1"/>
  <c r="W168" i="2"/>
  <c r="AG180" i="4"/>
  <c r="AE180" i="4"/>
  <c r="M138" i="2"/>
  <c r="P138" i="2" s="1"/>
  <c r="W138" i="2"/>
  <c r="AG177" i="4"/>
  <c r="AE177" i="4"/>
  <c r="M155" i="2"/>
  <c r="P155" i="2" s="1"/>
  <c r="W155" i="2"/>
  <c r="AE172" i="4"/>
  <c r="AG172" i="4"/>
  <c r="M92" i="2"/>
  <c r="P92" i="2" s="1"/>
  <c r="W92" i="2"/>
  <c r="AE171" i="4"/>
  <c r="AG171" i="4"/>
  <c r="M143" i="2"/>
  <c r="P143" i="2" s="1"/>
  <c r="W143" i="2"/>
  <c r="AG170" i="4"/>
  <c r="AE170" i="4"/>
  <c r="M105" i="2"/>
  <c r="P105" i="2" s="1"/>
  <c r="W105" i="2"/>
  <c r="M103" i="2"/>
  <c r="P103" i="2" s="1"/>
  <c r="W103" i="2"/>
  <c r="AE169" i="4"/>
  <c r="AG169" i="4"/>
  <c r="AE167" i="4"/>
  <c r="AG167" i="4"/>
  <c r="M128" i="2"/>
  <c r="P128" i="2" s="1"/>
  <c r="W128" i="2"/>
  <c r="M91" i="2"/>
  <c r="P91" i="2" s="1"/>
  <c r="W91" i="2"/>
  <c r="AE161" i="4"/>
  <c r="AG161" i="4"/>
  <c r="M194" i="2"/>
  <c r="P194" i="2" s="1"/>
  <c r="W194" i="2"/>
  <c r="AE156" i="4"/>
  <c r="AG156" i="4"/>
  <c r="AE155" i="4"/>
  <c r="AG155" i="4"/>
  <c r="M193" i="2"/>
  <c r="P193" i="2" s="1"/>
  <c r="W193" i="2"/>
  <c r="M195" i="2"/>
  <c r="P195" i="2" s="1"/>
  <c r="W195" i="2"/>
  <c r="AE154" i="4"/>
  <c r="AG154" i="4"/>
  <c r="M182" i="2"/>
  <c r="P182" i="2" s="1"/>
  <c r="W182" i="2"/>
  <c r="AE150" i="4"/>
  <c r="AG150" i="4"/>
  <c r="M179" i="2"/>
  <c r="P179" i="2" s="1"/>
  <c r="W179" i="2"/>
  <c r="AE148" i="4"/>
  <c r="AG148" i="4"/>
  <c r="M192" i="2"/>
  <c r="P192" i="2" s="1"/>
  <c r="W192" i="2"/>
  <c r="AE147" i="4"/>
  <c r="AG147" i="4"/>
  <c r="AE145" i="4"/>
  <c r="AG145" i="4"/>
  <c r="M185" i="2"/>
  <c r="P185" i="2" s="1"/>
  <c r="W185" i="2"/>
  <c r="AE144" i="4"/>
  <c r="AG144" i="4"/>
  <c r="M176" i="2"/>
  <c r="P176" i="2" s="1"/>
  <c r="W176" i="2"/>
  <c r="AE143" i="4"/>
  <c r="AG143" i="4"/>
  <c r="M177" i="2"/>
  <c r="P177" i="2" s="1"/>
  <c r="W177" i="2"/>
  <c r="M183" i="2"/>
  <c r="P183" i="2" s="1"/>
  <c r="W183" i="2"/>
  <c r="AE142" i="4"/>
  <c r="AG142" i="4"/>
  <c r="M171" i="2"/>
  <c r="P171" i="2" s="1"/>
  <c r="W171" i="2"/>
  <c r="AE141" i="4"/>
  <c r="AG141" i="4"/>
  <c r="AE139" i="4"/>
  <c r="AG139" i="4"/>
  <c r="M163" i="2"/>
  <c r="P163" i="2" s="1"/>
  <c r="W163" i="2"/>
  <c r="AE135" i="4"/>
  <c r="AG135" i="4"/>
  <c r="M137" i="2"/>
  <c r="P137" i="2" s="1"/>
  <c r="W137" i="2"/>
  <c r="M113" i="2"/>
  <c r="P113" i="2" s="1"/>
  <c r="W113" i="2"/>
  <c r="AE132" i="4"/>
  <c r="AG132" i="4"/>
  <c r="M112" i="2"/>
  <c r="P112" i="2" s="1"/>
  <c r="W112" i="2"/>
  <c r="AE131" i="4"/>
  <c r="AG131" i="4"/>
  <c r="AE125" i="4"/>
  <c r="AG125" i="4"/>
  <c r="M61" i="2"/>
  <c r="P61" i="2" s="1"/>
  <c r="W61" i="2"/>
  <c r="M148" i="2"/>
  <c r="P148" i="2" s="1"/>
  <c r="W148" i="2"/>
  <c r="AG123" i="4"/>
  <c r="AE123" i="4"/>
  <c r="AE121" i="4"/>
  <c r="AG121" i="4"/>
  <c r="M154" i="2"/>
  <c r="P154" i="2" s="1"/>
  <c r="W154" i="2"/>
  <c r="AE120" i="4"/>
  <c r="AG120" i="4"/>
  <c r="M140" i="2"/>
  <c r="P140" i="2" s="1"/>
  <c r="W140" i="2"/>
  <c r="M122" i="2"/>
  <c r="P122" i="2" s="1"/>
  <c r="W122" i="2"/>
  <c r="AG119" i="4"/>
  <c r="AE119" i="4"/>
  <c r="AE118" i="4"/>
  <c r="AG118" i="4"/>
  <c r="M150" i="2"/>
  <c r="P150" i="2" s="1"/>
  <c r="W150" i="2"/>
  <c r="AE115" i="4"/>
  <c r="AG115" i="4"/>
  <c r="M139" i="2"/>
  <c r="P139" i="2" s="1"/>
  <c r="W139" i="2"/>
  <c r="M89" i="2"/>
  <c r="P89" i="2" s="1"/>
  <c r="W89" i="2"/>
  <c r="AE113" i="4"/>
  <c r="AG113" i="4"/>
  <c r="M114" i="2"/>
  <c r="P114" i="2" s="1"/>
  <c r="W114" i="2"/>
  <c r="AG111" i="4"/>
  <c r="AE111" i="4"/>
  <c r="M87" i="2"/>
  <c r="P87" i="2" s="1"/>
  <c r="W87" i="2"/>
  <c r="AE105" i="4"/>
  <c r="AG105" i="4"/>
  <c r="AE100" i="4"/>
  <c r="AG100" i="4"/>
  <c r="M83" i="2"/>
  <c r="P83" i="2" s="1"/>
  <c r="W83" i="2"/>
  <c r="M65" i="2"/>
  <c r="P65" i="2" s="1"/>
  <c r="W65" i="2"/>
  <c r="AG99" i="4"/>
  <c r="AE99" i="4"/>
  <c r="M121" i="2"/>
  <c r="P121" i="2" s="1"/>
  <c r="W121" i="2"/>
  <c r="AG98" i="4"/>
  <c r="AE98" i="4"/>
  <c r="M90" i="2"/>
  <c r="P90" i="2" s="1"/>
  <c r="W90" i="2"/>
  <c r="AE94" i="4"/>
  <c r="AG94" i="4"/>
  <c r="M109" i="2"/>
  <c r="P109" i="2" s="1"/>
  <c r="W109" i="2"/>
  <c r="AG86" i="4"/>
  <c r="AE86" i="4"/>
  <c r="AE81" i="4"/>
  <c r="AG81" i="4"/>
  <c r="M80" i="2"/>
  <c r="P80" i="2" s="1"/>
  <c r="W80" i="2"/>
  <c r="M85" i="2"/>
  <c r="P85" i="2" s="1"/>
  <c r="W85" i="2"/>
  <c r="AE77" i="4"/>
  <c r="AG77" i="4"/>
  <c r="M64" i="2"/>
  <c r="P64" i="2" s="1"/>
  <c r="W64" i="2"/>
  <c r="AE76" i="4"/>
  <c r="AG76" i="4"/>
  <c r="M84" i="2"/>
  <c r="P84" i="2" s="1"/>
  <c r="W84" i="2"/>
  <c r="AE72" i="4"/>
  <c r="AG72" i="4"/>
  <c r="M69" i="2"/>
  <c r="P69" i="2" s="1"/>
  <c r="W69" i="2"/>
  <c r="AE71" i="4"/>
  <c r="AG71" i="4"/>
  <c r="M88" i="2"/>
  <c r="P88" i="2" s="1"/>
  <c r="W88" i="2"/>
  <c r="AE70" i="4"/>
  <c r="AG70" i="4"/>
  <c r="M55" i="2"/>
  <c r="P55" i="2" s="1"/>
  <c r="W55" i="2"/>
  <c r="AG55" i="4"/>
  <c r="AE55" i="4"/>
  <c r="AG46" i="4"/>
  <c r="AE46" i="4"/>
  <c r="M75" i="2"/>
  <c r="P75" i="2" s="1"/>
  <c r="W75" i="2"/>
  <c r="AE39" i="4"/>
  <c r="AG39" i="4"/>
  <c r="AE37" i="4"/>
  <c r="AG37" i="4"/>
  <c r="AE36" i="4"/>
  <c r="AG36" i="4"/>
  <c r="AE30" i="4"/>
  <c r="AG30" i="4"/>
  <c r="AE22" i="4"/>
  <c r="AG22" i="4"/>
  <c r="AE21" i="4"/>
  <c r="AG21" i="4"/>
  <c r="AE8" i="4"/>
  <c r="AG8" i="4"/>
  <c r="O200" i="2"/>
  <c r="B10" i="1"/>
  <c r="N200" i="2"/>
  <c r="B9" i="1"/>
  <c r="Q45" i="9"/>
  <c r="Q532" i="9"/>
  <c r="Q533" i="9"/>
  <c r="Q536" i="9"/>
  <c r="Q46" i="9"/>
  <c r="Q47" i="9"/>
  <c r="Q48" i="9"/>
  <c r="Q60" i="9"/>
  <c r="Q61" i="9"/>
  <c r="Q62" i="9"/>
  <c r="Q87" i="9"/>
  <c r="Q112" i="9"/>
  <c r="Q113" i="9"/>
  <c r="Q116" i="9"/>
  <c r="Q121" i="9"/>
  <c r="Q122" i="9"/>
  <c r="Q125" i="9"/>
  <c r="Q160" i="9"/>
  <c r="Q171" i="9"/>
  <c r="Q228" i="9"/>
  <c r="Q308" i="9"/>
  <c r="Q311" i="9"/>
  <c r="Q313" i="9"/>
  <c r="Q317" i="9"/>
  <c r="Q320" i="9"/>
  <c r="Q343" i="9"/>
  <c r="Q344" i="9"/>
  <c r="Q349" i="9"/>
  <c r="Q225" i="9"/>
  <c r="Q227" i="9"/>
  <c r="Q359" i="9"/>
  <c r="Q360" i="9"/>
  <c r="Q361" i="9"/>
  <c r="Q370" i="9"/>
  <c r="Q384" i="9"/>
  <c r="Q398" i="9"/>
  <c r="Q427" i="9"/>
  <c r="Q442" i="9"/>
  <c r="Q444" i="9"/>
  <c r="Q465" i="9"/>
  <c r="Q466" i="9"/>
  <c r="Q467" i="9"/>
  <c r="Q506" i="9"/>
  <c r="Q507" i="9"/>
  <c r="Q509" i="9"/>
  <c r="Q520" i="9"/>
  <c r="Q535" i="9"/>
  <c r="Q39" i="9"/>
  <c r="Q49" i="9"/>
  <c r="Q50" i="9"/>
  <c r="Q51" i="9"/>
  <c r="Q52" i="9"/>
  <c r="Q2" i="9"/>
  <c r="Q40" i="9"/>
  <c r="Q110" i="9"/>
  <c r="Q111" i="9"/>
  <c r="Q128" i="9"/>
  <c r="Q157" i="9"/>
  <c r="Q169" i="9"/>
  <c r="Q212" i="9"/>
  <c r="Q213" i="9"/>
  <c r="Q214" i="9"/>
  <c r="Q215" i="9"/>
  <c r="Q41" i="9"/>
  <c r="Q230" i="9"/>
  <c r="Q250" i="9"/>
  <c r="Q251" i="9"/>
  <c r="Q253" i="9"/>
  <c r="Q254" i="9"/>
  <c r="Q269" i="9"/>
  <c r="Q270" i="9"/>
  <c r="Q38" i="9"/>
  <c r="Q43" i="9"/>
  <c r="Q364" i="9"/>
  <c r="Q411" i="9"/>
  <c r="Q430" i="9"/>
  <c r="Q431" i="9"/>
  <c r="Q432" i="9"/>
  <c r="Q433" i="9"/>
  <c r="Q443" i="9"/>
  <c r="Q445" i="9"/>
  <c r="Q469" i="9"/>
  <c r="Q498" i="9"/>
  <c r="Q499" i="9"/>
  <c r="Q510" i="9"/>
  <c r="Q524" i="9"/>
  <c r="Q525" i="9"/>
  <c r="Q526" i="9"/>
  <c r="Q527" i="9"/>
  <c r="Q529" i="9"/>
  <c r="Q530" i="9"/>
  <c r="Q531" i="9"/>
  <c r="Q25" i="9"/>
  <c r="Q44" i="9"/>
  <c r="Q53" i="9"/>
  <c r="Q54" i="9"/>
  <c r="Q55" i="9"/>
  <c r="Q56" i="9"/>
  <c r="Q57" i="9"/>
  <c r="Q58" i="9"/>
  <c r="Q8" i="9"/>
  <c r="Q12" i="9"/>
  <c r="Q17" i="9"/>
  <c r="Q18" i="9"/>
  <c r="Q22" i="9"/>
  <c r="Q23" i="9"/>
  <c r="Q98" i="9"/>
  <c r="Q104" i="9"/>
  <c r="Q114" i="9"/>
  <c r="Q115" i="9"/>
  <c r="Q123" i="9"/>
  <c r="Q124" i="9"/>
  <c r="Q127" i="9"/>
  <c r="Q129" i="9"/>
  <c r="Q130" i="9"/>
  <c r="Q131" i="9"/>
  <c r="Q158" i="9"/>
  <c r="Q161" i="9"/>
  <c r="Q168" i="9"/>
  <c r="Q172" i="9"/>
  <c r="Q187" i="9"/>
  <c r="Q189" i="9"/>
  <c r="Q190" i="9"/>
  <c r="Q191" i="9"/>
  <c r="Q192" i="9"/>
  <c r="Q194" i="9"/>
  <c r="Q195" i="9"/>
  <c r="Q196" i="9"/>
  <c r="Q197" i="9"/>
  <c r="Q198" i="9"/>
  <c r="Q199" i="9"/>
  <c r="Q200" i="9"/>
  <c r="Q201" i="9"/>
  <c r="Q202" i="9"/>
  <c r="Q10" i="9"/>
  <c r="Q11" i="9"/>
  <c r="Q15" i="9"/>
  <c r="Q20" i="9"/>
  <c r="Q21" i="9"/>
  <c r="Q231" i="9"/>
  <c r="Q232" i="9"/>
  <c r="Q233" i="9"/>
  <c r="Q274" i="9"/>
  <c r="Q275" i="9"/>
  <c r="Q287" i="9"/>
  <c r="Q290" i="9"/>
  <c r="Q291" i="9"/>
  <c r="Q309" i="9"/>
  <c r="Q312" i="9"/>
  <c r="Q314" i="9"/>
  <c r="Q321" i="9"/>
  <c r="Q324" i="9"/>
  <c r="Q325" i="9"/>
  <c r="Q326" i="9"/>
  <c r="Q327" i="9"/>
  <c r="Q340" i="9"/>
  <c r="Q341" i="9"/>
  <c r="Q345" i="9"/>
  <c r="Q346" i="9"/>
  <c r="Q347" i="9"/>
  <c r="Q9" i="9"/>
  <c r="Q13" i="9"/>
  <c r="Q16" i="9"/>
  <c r="Q24" i="9"/>
  <c r="Q26" i="9"/>
  <c r="Q27" i="9"/>
  <c r="Q229" i="9"/>
  <c r="Q363" i="9"/>
  <c r="Q365" i="9"/>
  <c r="Q366" i="9"/>
  <c r="Q371" i="9"/>
  <c r="Q387" i="9"/>
  <c r="Q388" i="9"/>
  <c r="Q389" i="9"/>
  <c r="Q390" i="9"/>
  <c r="Q399" i="9"/>
  <c r="Q400" i="9"/>
  <c r="Q401" i="9"/>
  <c r="Q403" i="9"/>
  <c r="Q404" i="9"/>
  <c r="Q414" i="9"/>
  <c r="Q415" i="9"/>
  <c r="Q416" i="9"/>
  <c r="Q417" i="9"/>
  <c r="Q418" i="9"/>
  <c r="Q421" i="9"/>
  <c r="Q423" i="9"/>
  <c r="Q437" i="9"/>
  <c r="Q438" i="9"/>
  <c r="Q468" i="9"/>
  <c r="Q470" i="9"/>
  <c r="Q474" i="9"/>
  <c r="Q475" i="9"/>
  <c r="Q476" i="9"/>
  <c r="Q486" i="9"/>
  <c r="Q487" i="9"/>
  <c r="Q490" i="9"/>
  <c r="Q491" i="9"/>
  <c r="Q492" i="9"/>
  <c r="Q504" i="9"/>
  <c r="Q505" i="9"/>
  <c r="Q534" i="9"/>
  <c r="Q538" i="9"/>
  <c r="Q539" i="9"/>
  <c r="Q540" i="9"/>
  <c r="Q66" i="9"/>
  <c r="Q67" i="9"/>
  <c r="Q68" i="9"/>
  <c r="Q69" i="9"/>
  <c r="Q72" i="9"/>
  <c r="Q73" i="9"/>
  <c r="Q5" i="9"/>
  <c r="Q35" i="9"/>
  <c r="Q88" i="9"/>
  <c r="Q100" i="9"/>
  <c r="Q101" i="9"/>
  <c r="Q102" i="9"/>
  <c r="Q103" i="9"/>
  <c r="Q134" i="9"/>
  <c r="Q135" i="9"/>
  <c r="Q136" i="9"/>
  <c r="Q137" i="9"/>
  <c r="Q141" i="9"/>
  <c r="Q142" i="9"/>
  <c r="Q143" i="9"/>
  <c r="Q144" i="9"/>
  <c r="Q145" i="9"/>
  <c r="Q146" i="9"/>
  <c r="Q148" i="9"/>
  <c r="Q149" i="9"/>
  <c r="Q150" i="9"/>
  <c r="Q151" i="9"/>
  <c r="Q152" i="9"/>
  <c r="Q153" i="9"/>
  <c r="Q156" i="9"/>
  <c r="Q167" i="9"/>
  <c r="Q173" i="9"/>
  <c r="Q174" i="9"/>
  <c r="Q175" i="9"/>
  <c r="Q176" i="9"/>
  <c r="Q183" i="9"/>
  <c r="Q188" i="9"/>
  <c r="Q193" i="9"/>
  <c r="Q209" i="9"/>
  <c r="Q211" i="9"/>
  <c r="Q216" i="9"/>
  <c r="Q3" i="9"/>
  <c r="Q29" i="9"/>
  <c r="Q30" i="9"/>
  <c r="Q32" i="9"/>
  <c r="Q33" i="9"/>
  <c r="Q218" i="9"/>
  <c r="Q219" i="9"/>
  <c r="Q240" i="9"/>
  <c r="Q241" i="9"/>
  <c r="Q242" i="9"/>
  <c r="Q243" i="9"/>
  <c r="Q246" i="9"/>
  <c r="Q255" i="9"/>
  <c r="Q256" i="9"/>
  <c r="Q257" i="9"/>
  <c r="Q258" i="9"/>
  <c r="Q260" i="9"/>
  <c r="Q261" i="9"/>
  <c r="Q262" i="9"/>
  <c r="Q263" i="9"/>
  <c r="Q264" i="9"/>
  <c r="Q266" i="9"/>
  <c r="Q268" i="9"/>
  <c r="Q280" i="9"/>
  <c r="Q282" i="9"/>
  <c r="Q283" i="9"/>
  <c r="Q284" i="9"/>
  <c r="Q285" i="9"/>
  <c r="Q288" i="9"/>
  <c r="Q289" i="9"/>
  <c r="Q298" i="9"/>
  <c r="Q299" i="9"/>
  <c r="Q300" i="9"/>
  <c r="Q301" i="9"/>
  <c r="Q302" i="9"/>
  <c r="Q303" i="9"/>
  <c r="Q4" i="9"/>
  <c r="Q6" i="9"/>
  <c r="Q34" i="9"/>
  <c r="Q217" i="9"/>
  <c r="Q226" i="9"/>
  <c r="Q372" i="9"/>
  <c r="Q373" i="9"/>
  <c r="Q375" i="9"/>
  <c r="Q376" i="9"/>
  <c r="Q382" i="9"/>
  <c r="Q383" i="9"/>
  <c r="Q396" i="9"/>
  <c r="Q397" i="9"/>
  <c r="Q407" i="9"/>
  <c r="Q408" i="9"/>
  <c r="Q413" i="9"/>
  <c r="Q426" i="9"/>
  <c r="Q429" i="9"/>
  <c r="Q434" i="9"/>
  <c r="Q435" i="9"/>
  <c r="Q441" i="9"/>
  <c r="Q446" i="9"/>
  <c r="Q447" i="9"/>
  <c r="Q448" i="9"/>
  <c r="Q449" i="9"/>
  <c r="Q450" i="9"/>
  <c r="Q451" i="9"/>
  <c r="Q452" i="9"/>
  <c r="Q455" i="9"/>
  <c r="Q456" i="9"/>
  <c r="Q459" i="9"/>
  <c r="Q460" i="9"/>
  <c r="Q461" i="9"/>
  <c r="Q462" i="9"/>
  <c r="Q471" i="9"/>
  <c r="Q472" i="9"/>
  <c r="Q473" i="9"/>
  <c r="Q477" i="9"/>
  <c r="Q478" i="9"/>
  <c r="Q479" i="9"/>
  <c r="Q480" i="9"/>
  <c r="Q481" i="9"/>
  <c r="Q482" i="9"/>
  <c r="Q483" i="9"/>
  <c r="Q484" i="9"/>
  <c r="Q485" i="9"/>
  <c r="Q496" i="9"/>
  <c r="Q497" i="9"/>
  <c r="Q508" i="9"/>
  <c r="Q512" i="9"/>
  <c r="Q513" i="9"/>
  <c r="Q515" i="9"/>
  <c r="Q518" i="9"/>
  <c r="Q521" i="9"/>
  <c r="Q522" i="9"/>
  <c r="Q537" i="9"/>
  <c r="Q542" i="9"/>
  <c r="Q544" i="9"/>
  <c r="Q76" i="9"/>
  <c r="Q79" i="9"/>
  <c r="Q81" i="9"/>
  <c r="Q89" i="9"/>
  <c r="Q96" i="9"/>
  <c r="Q97" i="9"/>
  <c r="Q106" i="9"/>
  <c r="Q108" i="9"/>
  <c r="Q109" i="9"/>
  <c r="Q117" i="9"/>
  <c r="Q118" i="9"/>
  <c r="Q119" i="9"/>
  <c r="Q140" i="9"/>
  <c r="Q147" i="9"/>
  <c r="Q178" i="9"/>
  <c r="Q180" i="9"/>
  <c r="Q181" i="9"/>
  <c r="Q182" i="9"/>
  <c r="Q185" i="9"/>
  <c r="Q210" i="9"/>
  <c r="Q37" i="9"/>
  <c r="Q238" i="9"/>
  <c r="Q239" i="9"/>
  <c r="Q248" i="9"/>
  <c r="Q249" i="9"/>
  <c r="Q252" i="9"/>
  <c r="Q272" i="9"/>
  <c r="Q273" i="9"/>
  <c r="Q277" i="9"/>
  <c r="Q278" i="9"/>
  <c r="Q286" i="9"/>
  <c r="Q294" i="9"/>
  <c r="Q296" i="9"/>
  <c r="Q297" i="9"/>
  <c r="Q304" i="9"/>
  <c r="Q305" i="9"/>
  <c r="Q306" i="9"/>
  <c r="Q307" i="9"/>
  <c r="Q318" i="9"/>
  <c r="Q319" i="9"/>
  <c r="Q36" i="9"/>
  <c r="Q85" i="9"/>
  <c r="Q351" i="9"/>
  <c r="Q352" i="9"/>
  <c r="Q357" i="9"/>
  <c r="Q377" i="9"/>
  <c r="Q378" i="9"/>
  <c r="Q379" i="9"/>
  <c r="Q380" i="9"/>
  <c r="Q385" i="9"/>
  <c r="Q386" i="9"/>
  <c r="Q391" i="9"/>
  <c r="Q392" i="9"/>
  <c r="Q393" i="9"/>
  <c r="Q394" i="9"/>
  <c r="Q395" i="9"/>
  <c r="Q406" i="9"/>
  <c r="Q409" i="9"/>
  <c r="Q412" i="9"/>
  <c r="Q424" i="9"/>
  <c r="Q425" i="9"/>
  <c r="Q428" i="9"/>
  <c r="Q436" i="9"/>
  <c r="Q439" i="9"/>
  <c r="Q440" i="9"/>
  <c r="Q463" i="9"/>
  <c r="Q464" i="9"/>
  <c r="Q494" i="9"/>
  <c r="Q495" i="9"/>
  <c r="Q500" i="9"/>
  <c r="Q501" i="9"/>
  <c r="Q502" i="9"/>
  <c r="Q503" i="9"/>
  <c r="Q514" i="9"/>
  <c r="Q516" i="9"/>
  <c r="Q517" i="9"/>
  <c r="Q519" i="9"/>
  <c r="Q523" i="9"/>
  <c r="Q65" i="9"/>
  <c r="Q71" i="9"/>
  <c r="Q74" i="9"/>
  <c r="Q77" i="9"/>
  <c r="Q82" i="9"/>
  <c r="Q83" i="9"/>
  <c r="Q7" i="9"/>
  <c r="Q99" i="9"/>
  <c r="Q107" i="9"/>
  <c r="Q120" i="9"/>
  <c r="Q154" i="9"/>
  <c r="Q155" i="9"/>
  <c r="Q177" i="9"/>
  <c r="Q179" i="9"/>
  <c r="Q184" i="9"/>
  <c r="Q186" i="9"/>
  <c r="Q42" i="9"/>
  <c r="Q234" i="9"/>
  <c r="Q235" i="9"/>
  <c r="Q245" i="9"/>
  <c r="Q247" i="9"/>
  <c r="Q259" i="9"/>
  <c r="Q265" i="9"/>
  <c r="Q271" i="9"/>
  <c r="Q279" i="9"/>
  <c r="Q281" i="9"/>
  <c r="Q323" i="9"/>
  <c r="Q329" i="9"/>
  <c r="Q332" i="9"/>
  <c r="Q333" i="9"/>
  <c r="Q334" i="9"/>
  <c r="Q335" i="9"/>
  <c r="Q336" i="9"/>
  <c r="Q337" i="9"/>
  <c r="Q338" i="9"/>
  <c r="Q339" i="9"/>
  <c r="Q342" i="9"/>
  <c r="Q348" i="9"/>
  <c r="Q86" i="9"/>
  <c r="Q223" i="9"/>
  <c r="Q224" i="9"/>
  <c r="Q350" i="9"/>
  <c r="Q353" i="9"/>
  <c r="Q354" i="9"/>
  <c r="Q355" i="9"/>
  <c r="Q356" i="9"/>
  <c r="Q358" i="9"/>
  <c r="Q362" i="9"/>
  <c r="Q367" i="9"/>
  <c r="Q368" i="9"/>
  <c r="Q369" i="9"/>
  <c r="Q374" i="9"/>
  <c r="Q381" i="9"/>
  <c r="Q402" i="9"/>
  <c r="Q410" i="9"/>
  <c r="Q420" i="9"/>
  <c r="Q422" i="9"/>
  <c r="Q453" i="9"/>
  <c r="Q454" i="9"/>
  <c r="Q458" i="9"/>
  <c r="Q489" i="9"/>
  <c r="Q511" i="9"/>
  <c r="Q541" i="9"/>
  <c r="Q543" i="9"/>
  <c r="Q59" i="9"/>
  <c r="Q75" i="9"/>
  <c r="Q78" i="9"/>
  <c r="Q80" i="9"/>
  <c r="Q84" i="9"/>
  <c r="Q91" i="9"/>
  <c r="Q93" i="9"/>
  <c r="Q95" i="9"/>
  <c r="Q159" i="9"/>
  <c r="Q166" i="9"/>
  <c r="Q170" i="9"/>
  <c r="Q204" i="9"/>
  <c r="Q207" i="9"/>
  <c r="Q28" i="9"/>
  <c r="Q31" i="9"/>
  <c r="Q244" i="9"/>
  <c r="Q276" i="9"/>
  <c r="Q292" i="9"/>
  <c r="Q293" i="9"/>
  <c r="Q315" i="9"/>
  <c r="Q316" i="9"/>
  <c r="Q322" i="9"/>
  <c r="Q328" i="9"/>
  <c r="Q330" i="9"/>
  <c r="Q331" i="9"/>
  <c r="Q14" i="9"/>
  <c r="Q19" i="9"/>
  <c r="Q222" i="9"/>
  <c r="Q457" i="9"/>
  <c r="Q493" i="9"/>
  <c r="Q63" i="9"/>
  <c r="Q64" i="9"/>
  <c r="Q70" i="9"/>
  <c r="Q90" i="9"/>
  <c r="Q92" i="9"/>
  <c r="Q94" i="9"/>
  <c r="Q126" i="9"/>
  <c r="Q132" i="9"/>
  <c r="Q133" i="9"/>
  <c r="Q138" i="9"/>
  <c r="Q139" i="9"/>
  <c r="Q162" i="9"/>
  <c r="Q163" i="9"/>
  <c r="Q528" i="9"/>
  <c r="Q236" i="9"/>
  <c r="Q237" i="9"/>
  <c r="Q105" i="9"/>
  <c r="Q164" i="9"/>
  <c r="Q165" i="9"/>
  <c r="Q203" i="9"/>
  <c r="Q205" i="9"/>
  <c r="Q206" i="9"/>
  <c r="Q208" i="9"/>
  <c r="Q267" i="9"/>
  <c r="Q295" i="9"/>
  <c r="Q310" i="9"/>
  <c r="Q220" i="9"/>
  <c r="Q221" i="9"/>
  <c r="L178" i="8"/>
  <c r="H19" i="2" s="1"/>
  <c r="L106" i="8"/>
  <c r="L51" i="8"/>
  <c r="H118" i="2" s="1"/>
  <c r="L28" i="8"/>
  <c r="H12" i="2" s="1"/>
  <c r="L9" i="8"/>
  <c r="I205" i="8"/>
  <c r="J205" i="8" s="1"/>
  <c r="Z201" i="4"/>
  <c r="AH201" i="4"/>
  <c r="D203" i="4" s="1"/>
  <c r="H204" i="8"/>
  <c r="J204" i="8" s="1"/>
  <c r="H200" i="8"/>
  <c r="N106" i="8" l="1"/>
  <c r="N109" i="8"/>
  <c r="N119" i="8"/>
  <c r="N103" i="8"/>
  <c r="N124" i="8"/>
  <c r="N130" i="8"/>
  <c r="N137" i="8"/>
  <c r="N138" i="8"/>
  <c r="N35" i="8"/>
  <c r="N146" i="8"/>
  <c r="N153" i="8"/>
  <c r="N110" i="8"/>
  <c r="N164" i="8"/>
  <c r="N161" i="8"/>
  <c r="N22" i="8"/>
  <c r="N26" i="8"/>
  <c r="N48" i="8"/>
  <c r="N66" i="8"/>
  <c r="N72" i="8"/>
  <c r="N74" i="8"/>
  <c r="N81" i="8"/>
  <c r="N84" i="8"/>
  <c r="N85" i="8"/>
  <c r="N154" i="8"/>
  <c r="N6" i="8"/>
  <c r="N94" i="8"/>
  <c r="N95" i="8"/>
  <c r="N61" i="8"/>
  <c r="N76" i="8"/>
  <c r="N79" i="8"/>
  <c r="N82" i="8"/>
  <c r="N83" i="8"/>
  <c r="N116" i="8"/>
  <c r="N118" i="8"/>
  <c r="N122" i="8"/>
  <c r="N128" i="8"/>
  <c r="N133" i="8"/>
  <c r="N143" i="8"/>
  <c r="N144" i="8"/>
  <c r="N147" i="8"/>
  <c r="N150" i="8"/>
  <c r="N155" i="8"/>
  <c r="N156" i="8"/>
  <c r="N157" i="8"/>
  <c r="N159" i="8"/>
  <c r="N21" i="8"/>
  <c r="N20" i="8"/>
  <c r="R310" i="9"/>
  <c r="S310" i="9" s="1"/>
  <c r="N87" i="8" s="1"/>
  <c r="N182" i="8"/>
  <c r="N111" i="8"/>
  <c r="N98" i="8"/>
  <c r="N32" i="8"/>
  <c r="N158" i="8"/>
  <c r="N88" i="8"/>
  <c r="N177" i="8"/>
  <c r="N180" i="8"/>
  <c r="N7" i="8"/>
  <c r="N197" i="8"/>
  <c r="N192" i="8"/>
  <c r="N102" i="8"/>
  <c r="N45" i="8"/>
  <c r="N68" i="8"/>
  <c r="N69" i="8"/>
  <c r="N89" i="8"/>
  <c r="N29" i="8"/>
  <c r="R46" i="9"/>
  <c r="S46" i="9" s="1"/>
  <c r="R47" i="9"/>
  <c r="S47" i="9" s="1"/>
  <c r="R60" i="9"/>
  <c r="S60" i="9" s="1"/>
  <c r="R62" i="9"/>
  <c r="S62" i="9" s="1"/>
  <c r="R160" i="9"/>
  <c r="S160" i="9" s="1"/>
  <c r="N41" i="8" s="1"/>
  <c r="R2" i="9"/>
  <c r="S2" i="9" s="1"/>
  <c r="N5" i="8" s="1"/>
  <c r="R316" i="9"/>
  <c r="S316" i="9" s="1"/>
  <c r="R132" i="9"/>
  <c r="S132" i="9" s="1"/>
  <c r="N33" i="8" s="1"/>
  <c r="R133" i="9"/>
  <c r="S133" i="9" s="1"/>
  <c r="N34" i="8" s="1"/>
  <c r="N11" i="8"/>
  <c r="R45" i="9"/>
  <c r="S45" i="9" s="1"/>
  <c r="R48" i="9"/>
  <c r="S48" i="9" s="1"/>
  <c r="R61" i="9"/>
  <c r="S61" i="9" s="1"/>
  <c r="R320" i="9"/>
  <c r="S320" i="9" s="1"/>
  <c r="N92" i="8" s="1"/>
  <c r="R315" i="9"/>
  <c r="S315" i="9" s="1"/>
  <c r="R126" i="9"/>
  <c r="S126" i="9" s="1"/>
  <c r="N31" i="8" s="1"/>
  <c r="N188" i="8"/>
  <c r="N57" i="8"/>
  <c r="N23" i="8"/>
  <c r="N50" i="8"/>
  <c r="N52" i="8"/>
  <c r="N112" i="8"/>
  <c r="N149" i="8"/>
  <c r="N71" i="8"/>
  <c r="N194" i="8"/>
  <c r="N28" i="8"/>
  <c r="N30" i="8"/>
  <c r="N60" i="8"/>
  <c r="N62" i="8"/>
  <c r="N17" i="8"/>
  <c r="N19" i="8"/>
  <c r="N80" i="8"/>
  <c r="N104" i="8"/>
  <c r="N193" i="8"/>
  <c r="N75" i="8"/>
  <c r="N187" i="8"/>
  <c r="O199" i="8"/>
  <c r="J122" i="2"/>
  <c r="O198" i="8"/>
  <c r="J113" i="2"/>
  <c r="O196" i="8"/>
  <c r="J147" i="2"/>
  <c r="O195" i="8"/>
  <c r="J54" i="2"/>
  <c r="O191" i="8"/>
  <c r="J142" i="2"/>
  <c r="O190" i="8"/>
  <c r="J88" i="2"/>
  <c r="O189" i="8"/>
  <c r="J129" i="2"/>
  <c r="O186" i="8"/>
  <c r="J150" i="2"/>
  <c r="O185" i="8"/>
  <c r="J195" i="2"/>
  <c r="J78" i="2"/>
  <c r="O184" i="8"/>
  <c r="O183" i="8"/>
  <c r="J84" i="2"/>
  <c r="O181" i="8"/>
  <c r="J58" i="2"/>
  <c r="J19" i="2"/>
  <c r="O178" i="8"/>
  <c r="O176" i="8"/>
  <c r="J196" i="2"/>
  <c r="O175" i="8"/>
  <c r="J111" i="2"/>
  <c r="O174" i="8"/>
  <c r="J49" i="2"/>
  <c r="O173" i="8"/>
  <c r="J152" i="2"/>
  <c r="O172" i="8"/>
  <c r="J94" i="2"/>
  <c r="O171" i="8"/>
  <c r="J70" i="2"/>
  <c r="O170" i="8"/>
  <c r="J127" i="2"/>
  <c r="O169" i="8"/>
  <c r="J154" i="2"/>
  <c r="O168" i="8"/>
  <c r="J141" i="2"/>
  <c r="O167" i="8"/>
  <c r="J121" i="2"/>
  <c r="O166" i="8"/>
  <c r="J110" i="2"/>
  <c r="O165" i="8"/>
  <c r="J186" i="2"/>
  <c r="O163" i="8"/>
  <c r="J187" i="2"/>
  <c r="O162" i="8"/>
  <c r="J95" i="2"/>
  <c r="O161" i="8"/>
  <c r="J124" i="2"/>
  <c r="O160" i="8"/>
  <c r="J44" i="2"/>
  <c r="O153" i="8"/>
  <c r="J144" i="2"/>
  <c r="J143" i="2"/>
  <c r="O148" i="8"/>
  <c r="O146" i="8"/>
  <c r="J26" i="2"/>
  <c r="O145" i="8"/>
  <c r="J169" i="2"/>
  <c r="O142" i="8"/>
  <c r="J25" i="2"/>
  <c r="O139" i="8"/>
  <c r="J164" i="2"/>
  <c r="O135" i="8"/>
  <c r="J42" i="2"/>
  <c r="O134" i="8"/>
  <c r="J104" i="2"/>
  <c r="O132" i="8"/>
  <c r="J170" i="2"/>
  <c r="O129" i="8"/>
  <c r="J71" i="2"/>
  <c r="O127" i="8"/>
  <c r="J156" i="2"/>
  <c r="O126" i="8"/>
  <c r="J194" i="2"/>
  <c r="O125" i="8"/>
  <c r="J148" i="2"/>
  <c r="O123" i="8"/>
  <c r="J16" i="2"/>
  <c r="O121" i="8"/>
  <c r="J45" i="2"/>
  <c r="O120" i="8"/>
  <c r="J174" i="2"/>
  <c r="O117" i="8"/>
  <c r="J112" i="2"/>
  <c r="G13" i="11"/>
  <c r="H13" i="11" s="1"/>
  <c r="J13" i="11" s="1"/>
  <c r="J32" i="2"/>
  <c r="O115" i="8"/>
  <c r="U115" i="8"/>
  <c r="O114" i="8"/>
  <c r="J163" i="2"/>
  <c r="O113" i="8"/>
  <c r="J89" i="2"/>
  <c r="O108" i="8"/>
  <c r="J69" i="2"/>
  <c r="O107" i="8"/>
  <c r="J87" i="2"/>
  <c r="O106" i="8"/>
  <c r="J52" i="2"/>
  <c r="O105" i="8"/>
  <c r="J199" i="2"/>
  <c r="O99" i="8"/>
  <c r="J182" i="2"/>
  <c r="O97" i="8"/>
  <c r="J53" i="2"/>
  <c r="O91" i="8"/>
  <c r="J131" i="2"/>
  <c r="O86" i="8"/>
  <c r="J37" i="2"/>
  <c r="O78" i="8"/>
  <c r="J134" i="2"/>
  <c r="U78" i="8"/>
  <c r="G11" i="11"/>
  <c r="H11" i="11" s="1"/>
  <c r="J11" i="11" s="1"/>
  <c r="O77" i="8"/>
  <c r="J136" i="2"/>
  <c r="O73" i="8"/>
  <c r="U73" i="8"/>
  <c r="J151" i="2"/>
  <c r="G10" i="11"/>
  <c r="H10" i="11" s="1"/>
  <c r="J10" i="11" s="1"/>
  <c r="O70" i="8"/>
  <c r="J171" i="2"/>
  <c r="O64" i="8"/>
  <c r="J191" i="2"/>
  <c r="O63" i="8"/>
  <c r="J189" i="2"/>
  <c r="I189" i="2"/>
  <c r="O59" i="8"/>
  <c r="J138" i="2"/>
  <c r="O58" i="8"/>
  <c r="U58" i="8"/>
  <c r="G9" i="11"/>
  <c r="H9" i="11" s="1"/>
  <c r="J9" i="11" s="1"/>
  <c r="J64" i="2"/>
  <c r="O56" i="8"/>
  <c r="J20" i="2"/>
  <c r="O55" i="8"/>
  <c r="J172" i="2"/>
  <c r="O54" i="8"/>
  <c r="U54" i="8"/>
  <c r="G8" i="11"/>
  <c r="H8" i="11" s="1"/>
  <c r="J8" i="11" s="1"/>
  <c r="J85" i="2"/>
  <c r="O53" i="8"/>
  <c r="U53" i="8"/>
  <c r="G7" i="11"/>
  <c r="H7" i="11" s="1"/>
  <c r="J7" i="11" s="1"/>
  <c r="J128" i="2"/>
  <c r="O51" i="8"/>
  <c r="J118" i="2"/>
  <c r="O49" i="8"/>
  <c r="J79" i="2"/>
  <c r="O47" i="8"/>
  <c r="J43" i="2"/>
  <c r="O46" i="8"/>
  <c r="J36" i="2"/>
  <c r="O43" i="8"/>
  <c r="J92" i="2"/>
  <c r="O42" i="8"/>
  <c r="J175" i="2"/>
  <c r="O40" i="8"/>
  <c r="J91" i="2"/>
  <c r="O38" i="8"/>
  <c r="J13" i="2"/>
  <c r="O37" i="8"/>
  <c r="J161" i="2"/>
  <c r="O36" i="8"/>
  <c r="J157" i="2"/>
  <c r="O25" i="8"/>
  <c r="J65" i="2"/>
  <c r="O24" i="8"/>
  <c r="J167" i="2"/>
  <c r="O18" i="8"/>
  <c r="J108" i="2"/>
  <c r="O16" i="8"/>
  <c r="J40" i="2"/>
  <c r="M204" i="8"/>
  <c r="I5" i="2"/>
  <c r="S75" i="2"/>
  <c r="Z75" i="2"/>
  <c r="AH75" i="2"/>
  <c r="S184" i="2"/>
  <c r="Z184" i="2"/>
  <c r="AH184" i="2"/>
  <c r="AG201" i="4"/>
  <c r="D207" i="4"/>
  <c r="M200" i="2"/>
  <c r="B8" i="1" s="1"/>
  <c r="B11" i="1" s="1"/>
  <c r="P5" i="2"/>
  <c r="W200" i="2"/>
  <c r="B28" i="1" s="1"/>
  <c r="M183" i="8"/>
  <c r="M69" i="8"/>
  <c r="I57" i="2" s="1"/>
  <c r="M45" i="8"/>
  <c r="I15" i="2" s="1"/>
  <c r="M16" i="8"/>
  <c r="D208" i="4"/>
  <c r="H52" i="2"/>
  <c r="L205" i="8"/>
  <c r="H82" i="2"/>
  <c r="O201" i="8"/>
  <c r="L200" i="8"/>
  <c r="L204" i="8"/>
  <c r="N140" i="8"/>
  <c r="N136" i="8"/>
  <c r="N27" i="8"/>
  <c r="N179" i="8"/>
  <c r="N101" i="8"/>
  <c r="N39" i="8"/>
  <c r="N65" i="8"/>
  <c r="N8" i="8"/>
  <c r="N13" i="8"/>
  <c r="N15" i="8"/>
  <c r="N131" i="8"/>
  <c r="N9" i="8"/>
  <c r="N100" i="8"/>
  <c r="N67" i="8"/>
  <c r="N14" i="8"/>
  <c r="N141" i="8"/>
  <c r="N96" i="8"/>
  <c r="N44" i="8"/>
  <c r="N93" i="8"/>
  <c r="B29" i="1" l="1"/>
  <c r="N12" i="8"/>
  <c r="N10" i="8"/>
  <c r="O109" i="8"/>
  <c r="J102" i="2"/>
  <c r="O119" i="8"/>
  <c r="J173" i="2"/>
  <c r="O103" i="8"/>
  <c r="J77" i="2"/>
  <c r="O124" i="8"/>
  <c r="J166" i="2"/>
  <c r="O130" i="8"/>
  <c r="J73" i="2"/>
  <c r="O137" i="8"/>
  <c r="J29" i="2"/>
  <c r="O138" i="8"/>
  <c r="J130" i="2"/>
  <c r="O35" i="8"/>
  <c r="J176" i="2"/>
  <c r="O110" i="8"/>
  <c r="J8" i="2"/>
  <c r="O164" i="8"/>
  <c r="J106" i="2"/>
  <c r="O22" i="8"/>
  <c r="J83" i="2"/>
  <c r="O26" i="8"/>
  <c r="J23" i="2"/>
  <c r="O66" i="8"/>
  <c r="J27" i="2"/>
  <c r="O158" i="8"/>
  <c r="J162" i="2"/>
  <c r="O197" i="8"/>
  <c r="J101" i="2"/>
  <c r="J62" i="2"/>
  <c r="O48" i="8"/>
  <c r="J98" i="2"/>
  <c r="O72" i="8"/>
  <c r="J93" i="2"/>
  <c r="O74" i="8"/>
  <c r="O81" i="8"/>
  <c r="J140" i="2"/>
  <c r="O84" i="8"/>
  <c r="J109" i="2"/>
  <c r="J139" i="2"/>
  <c r="O85" i="8"/>
  <c r="O154" i="8"/>
  <c r="J145" i="2"/>
  <c r="J6" i="2"/>
  <c r="O6" i="8"/>
  <c r="O94" i="8"/>
  <c r="J180" i="2"/>
  <c r="O95" i="8"/>
  <c r="J181" i="2"/>
  <c r="O61" i="8"/>
  <c r="J33" i="2"/>
  <c r="O76" i="8"/>
  <c r="J188" i="2"/>
  <c r="O79" i="8"/>
  <c r="J158" i="2"/>
  <c r="J21" i="2"/>
  <c r="O82" i="8"/>
  <c r="O83" i="8"/>
  <c r="J155" i="2"/>
  <c r="J67" i="2"/>
  <c r="O116" i="8"/>
  <c r="J133" i="2"/>
  <c r="O118" i="8"/>
  <c r="J177" i="2"/>
  <c r="O122" i="8"/>
  <c r="O128" i="8"/>
  <c r="J48" i="2"/>
  <c r="O133" i="8"/>
  <c r="J63" i="2"/>
  <c r="O143" i="8"/>
  <c r="J59" i="2"/>
  <c r="O144" i="8"/>
  <c r="J153" i="2"/>
  <c r="J123" i="2"/>
  <c r="O147" i="8"/>
  <c r="O150" i="8"/>
  <c r="J149" i="2"/>
  <c r="O155" i="8"/>
  <c r="J66" i="2"/>
  <c r="J120" i="2"/>
  <c r="O156" i="8"/>
  <c r="J97" i="2"/>
  <c r="O157" i="8"/>
  <c r="J99" i="2"/>
  <c r="O159" i="8"/>
  <c r="J105" i="2"/>
  <c r="O21" i="8"/>
  <c r="O20" i="8"/>
  <c r="J103" i="2"/>
  <c r="J80" i="2"/>
  <c r="O87" i="8"/>
  <c r="J198" i="2"/>
  <c r="O182" i="8"/>
  <c r="J11" i="2"/>
  <c r="O111" i="8"/>
  <c r="O98" i="8"/>
  <c r="J38" i="2"/>
  <c r="O32" i="8"/>
  <c r="J35" i="2"/>
  <c r="O88" i="8"/>
  <c r="U88" i="8"/>
  <c r="J30" i="2"/>
  <c r="G12" i="11"/>
  <c r="H12" i="11" s="1"/>
  <c r="J12" i="11" s="1"/>
  <c r="O177" i="8"/>
  <c r="J168" i="2"/>
  <c r="O180" i="8"/>
  <c r="J31" i="2"/>
  <c r="J146" i="2"/>
  <c r="O31" i="8"/>
  <c r="J51" i="2"/>
  <c r="O188" i="8"/>
  <c r="O57" i="8"/>
  <c r="J135" i="2"/>
  <c r="O50" i="8"/>
  <c r="J68" i="2"/>
  <c r="O149" i="8"/>
  <c r="J132" i="2"/>
  <c r="J47" i="2"/>
  <c r="O71" i="8"/>
  <c r="J76" i="2"/>
  <c r="O194" i="8"/>
  <c r="J34" i="2"/>
  <c r="O193" i="8"/>
  <c r="N90" i="8"/>
  <c r="J41" i="2"/>
  <c r="G5" i="11"/>
  <c r="H5" i="11" s="1"/>
  <c r="J5" i="11" s="1"/>
  <c r="U7" i="8"/>
  <c r="O7" i="8"/>
  <c r="O192" i="8"/>
  <c r="J197" i="2"/>
  <c r="O102" i="8"/>
  <c r="J125" i="2"/>
  <c r="J15" i="2"/>
  <c r="O45" i="8"/>
  <c r="O68" i="8"/>
  <c r="J56" i="2"/>
  <c r="O69" i="8"/>
  <c r="J57" i="2"/>
  <c r="J115" i="2"/>
  <c r="O89" i="8"/>
  <c r="J46" i="2"/>
  <c r="O29" i="8"/>
  <c r="J17" i="2"/>
  <c r="O41" i="8"/>
  <c r="J114" i="2"/>
  <c r="O33" i="8"/>
  <c r="J61" i="2"/>
  <c r="O34" i="8"/>
  <c r="O11" i="8"/>
  <c r="J60" i="2"/>
  <c r="O23" i="8"/>
  <c r="J100" i="2"/>
  <c r="O52" i="8"/>
  <c r="J18" i="2"/>
  <c r="O112" i="8"/>
  <c r="J190" i="2"/>
  <c r="O28" i="8"/>
  <c r="J12" i="2"/>
  <c r="O30" i="8"/>
  <c r="J10" i="2"/>
  <c r="O60" i="8"/>
  <c r="J90" i="2"/>
  <c r="O62" i="8"/>
  <c r="J22" i="2"/>
  <c r="O17" i="8"/>
  <c r="J107" i="2"/>
  <c r="O19" i="8"/>
  <c r="J72" i="2"/>
  <c r="J192" i="2"/>
  <c r="O80" i="8"/>
  <c r="J193" i="2"/>
  <c r="O104" i="8"/>
  <c r="J183" i="2"/>
  <c r="O75" i="8"/>
  <c r="O187" i="8"/>
  <c r="J50" i="2"/>
  <c r="H200" i="2"/>
  <c r="L122" i="2"/>
  <c r="X122" i="2"/>
  <c r="L113" i="2"/>
  <c r="X113" i="2"/>
  <c r="L147" i="2"/>
  <c r="X147" i="2"/>
  <c r="L54" i="2"/>
  <c r="X54" i="2"/>
  <c r="L142" i="2"/>
  <c r="X142" i="2"/>
  <c r="L88" i="2"/>
  <c r="X88" i="2"/>
  <c r="L129" i="2"/>
  <c r="X129" i="2"/>
  <c r="L150" i="2"/>
  <c r="X150" i="2"/>
  <c r="L195" i="2"/>
  <c r="X195" i="2"/>
  <c r="L78" i="2"/>
  <c r="X78" i="2"/>
  <c r="L84" i="2"/>
  <c r="X84" i="2"/>
  <c r="L58" i="2"/>
  <c r="X58" i="2"/>
  <c r="L19" i="2"/>
  <c r="X19" i="2"/>
  <c r="L196" i="2"/>
  <c r="X196" i="2"/>
  <c r="L111" i="2"/>
  <c r="X111" i="2"/>
  <c r="L49" i="2"/>
  <c r="X49" i="2"/>
  <c r="L152" i="2"/>
  <c r="X152" i="2"/>
  <c r="L94" i="2"/>
  <c r="X94" i="2"/>
  <c r="L70" i="2"/>
  <c r="X70" i="2"/>
  <c r="L127" i="2"/>
  <c r="X127" i="2"/>
  <c r="L154" i="2"/>
  <c r="X154" i="2"/>
  <c r="L141" i="2"/>
  <c r="X141" i="2"/>
  <c r="L121" i="2"/>
  <c r="X121" i="2"/>
  <c r="L110" i="2"/>
  <c r="X110" i="2"/>
  <c r="L186" i="2"/>
  <c r="X186" i="2"/>
  <c r="L187" i="2"/>
  <c r="X187" i="2"/>
  <c r="L95" i="2"/>
  <c r="X95" i="2"/>
  <c r="L124" i="2"/>
  <c r="X124" i="2"/>
  <c r="L44" i="2"/>
  <c r="X44" i="2"/>
  <c r="L144" i="2"/>
  <c r="X144" i="2"/>
  <c r="L143" i="2"/>
  <c r="X143" i="2"/>
  <c r="L26" i="2"/>
  <c r="X26" i="2"/>
  <c r="L169" i="2"/>
  <c r="X169" i="2"/>
  <c r="L25" i="2"/>
  <c r="X25" i="2"/>
  <c r="L164" i="2"/>
  <c r="X164" i="2"/>
  <c r="L42" i="2"/>
  <c r="X42" i="2"/>
  <c r="L104" i="2"/>
  <c r="X104" i="2"/>
  <c r="L170" i="2"/>
  <c r="X170" i="2"/>
  <c r="L71" i="2"/>
  <c r="X71" i="2"/>
  <c r="L156" i="2"/>
  <c r="X156" i="2"/>
  <c r="L194" i="2"/>
  <c r="X194" i="2"/>
  <c r="L148" i="2"/>
  <c r="X148" i="2"/>
  <c r="L16" i="2"/>
  <c r="X16" i="2"/>
  <c r="L45" i="2"/>
  <c r="X45" i="2"/>
  <c r="L174" i="2"/>
  <c r="X174" i="2"/>
  <c r="L112" i="2"/>
  <c r="X112" i="2"/>
  <c r="L32" i="2"/>
  <c r="X32" i="2"/>
  <c r="L163" i="2"/>
  <c r="X163" i="2"/>
  <c r="L89" i="2"/>
  <c r="X89" i="2"/>
  <c r="L69" i="2"/>
  <c r="X69" i="2"/>
  <c r="L87" i="2"/>
  <c r="X87" i="2"/>
  <c r="L52" i="2"/>
  <c r="X52" i="2"/>
  <c r="L199" i="2"/>
  <c r="X199" i="2"/>
  <c r="L182" i="2"/>
  <c r="X182" i="2"/>
  <c r="L53" i="2"/>
  <c r="X53" i="2"/>
  <c r="L131" i="2"/>
  <c r="X131" i="2"/>
  <c r="L37" i="2"/>
  <c r="X37" i="2"/>
  <c r="L134" i="2"/>
  <c r="X134" i="2"/>
  <c r="L136" i="2"/>
  <c r="X136" i="2"/>
  <c r="L151" i="2"/>
  <c r="X151" i="2"/>
  <c r="L171" i="2"/>
  <c r="X171" i="2"/>
  <c r="L191" i="2"/>
  <c r="X191" i="2"/>
  <c r="L189" i="2"/>
  <c r="X189" i="2"/>
  <c r="L138" i="2"/>
  <c r="X138" i="2"/>
  <c r="L64" i="2"/>
  <c r="X64" i="2"/>
  <c r="L20" i="2"/>
  <c r="X20" i="2"/>
  <c r="L172" i="2"/>
  <c r="X172" i="2"/>
  <c r="L85" i="2"/>
  <c r="X85" i="2"/>
  <c r="L128" i="2"/>
  <c r="X128" i="2"/>
  <c r="L118" i="2"/>
  <c r="X118" i="2"/>
  <c r="L79" i="2"/>
  <c r="X79" i="2"/>
  <c r="L43" i="2"/>
  <c r="X43" i="2"/>
  <c r="L36" i="2"/>
  <c r="X36" i="2"/>
  <c r="L92" i="2"/>
  <c r="X92" i="2"/>
  <c r="L175" i="2"/>
  <c r="X175" i="2"/>
  <c r="L91" i="2"/>
  <c r="X91" i="2"/>
  <c r="L13" i="2"/>
  <c r="X13" i="2"/>
  <c r="L161" i="2"/>
  <c r="X161" i="2"/>
  <c r="L157" i="2"/>
  <c r="X157" i="2"/>
  <c r="L65" i="2"/>
  <c r="X65" i="2"/>
  <c r="L167" i="2"/>
  <c r="X167" i="2"/>
  <c r="L108" i="2"/>
  <c r="X108" i="2"/>
  <c r="L40" i="2"/>
  <c r="X40" i="2"/>
  <c r="T75" i="2"/>
  <c r="U75" i="2"/>
  <c r="V75" i="2"/>
  <c r="Y75" i="2"/>
  <c r="AA75" i="2"/>
  <c r="AB75" i="2" s="1"/>
  <c r="T184" i="2"/>
  <c r="U184" i="2"/>
  <c r="V184" i="2"/>
  <c r="Y184" i="2"/>
  <c r="AA184" i="2"/>
  <c r="AB184" i="2" s="1"/>
  <c r="D205" i="4"/>
  <c r="D206" i="4"/>
  <c r="P200" i="2"/>
  <c r="J159" i="2"/>
  <c r="O140" i="8"/>
  <c r="J178" i="2"/>
  <c r="O136" i="8"/>
  <c r="J74" i="2"/>
  <c r="O27" i="8"/>
  <c r="J185" i="2"/>
  <c r="O179" i="8"/>
  <c r="J137" i="2"/>
  <c r="O101" i="8"/>
  <c r="J14" i="2"/>
  <c r="O39" i="8"/>
  <c r="J28" i="2"/>
  <c r="O65" i="8"/>
  <c r="J24" i="2"/>
  <c r="O8" i="8"/>
  <c r="J7" i="2"/>
  <c r="O13" i="8"/>
  <c r="J39" i="2"/>
  <c r="O15" i="8"/>
  <c r="J126" i="2"/>
  <c r="O131" i="8"/>
  <c r="J82" i="2"/>
  <c r="O9" i="8"/>
  <c r="J179" i="2"/>
  <c r="O100" i="8"/>
  <c r="J96" i="2"/>
  <c r="O67" i="8"/>
  <c r="J5" i="2"/>
  <c r="X5" i="2" s="1"/>
  <c r="O5" i="8"/>
  <c r="J86" i="2"/>
  <c r="O14" i="8"/>
  <c r="J160" i="2"/>
  <c r="O141" i="8"/>
  <c r="J117" i="2"/>
  <c r="O92" i="8"/>
  <c r="O96" i="8"/>
  <c r="J116" i="2"/>
  <c r="J55" i="2"/>
  <c r="U44" i="8"/>
  <c r="G6" i="11"/>
  <c r="H6" i="11" s="1"/>
  <c r="O44" i="8"/>
  <c r="J81" i="2"/>
  <c r="O93" i="8"/>
  <c r="I84" i="2"/>
  <c r="M205" i="8"/>
  <c r="I40" i="2"/>
  <c r="M200" i="8"/>
  <c r="O202" i="8"/>
  <c r="X139" i="2" l="1"/>
  <c r="L139" i="2"/>
  <c r="L145" i="2"/>
  <c r="X145" i="2"/>
  <c r="X101" i="2"/>
  <c r="L101" i="2"/>
  <c r="L6" i="2"/>
  <c r="X6" i="2"/>
  <c r="J9" i="2"/>
  <c r="O12" i="8"/>
  <c r="J119" i="2"/>
  <c r="O10" i="8"/>
  <c r="N200" i="8"/>
  <c r="X102" i="2"/>
  <c r="L102" i="2"/>
  <c r="X173" i="2"/>
  <c r="L173" i="2"/>
  <c r="X77" i="2"/>
  <c r="L77" i="2"/>
  <c r="L166" i="2"/>
  <c r="X166" i="2"/>
  <c r="L73" i="2"/>
  <c r="X73" i="2"/>
  <c r="L29" i="2"/>
  <c r="X29" i="2"/>
  <c r="L130" i="2"/>
  <c r="X130" i="2"/>
  <c r="X176" i="2"/>
  <c r="L176" i="2"/>
  <c r="X8" i="2"/>
  <c r="L8" i="2"/>
  <c r="X106" i="2"/>
  <c r="L106" i="2"/>
  <c r="X83" i="2"/>
  <c r="L83" i="2"/>
  <c r="X23" i="2"/>
  <c r="L23" i="2"/>
  <c r="X27" i="2"/>
  <c r="L27" i="2"/>
  <c r="L162" i="2"/>
  <c r="X162" i="2"/>
  <c r="X62" i="2"/>
  <c r="L62" i="2"/>
  <c r="X98" i="2"/>
  <c r="L98" i="2"/>
  <c r="X93" i="2"/>
  <c r="L93" i="2"/>
  <c r="L140" i="2"/>
  <c r="X140" i="2"/>
  <c r="X109" i="2"/>
  <c r="L109" i="2"/>
  <c r="X180" i="2"/>
  <c r="L180" i="2"/>
  <c r="X181" i="2"/>
  <c r="L181" i="2"/>
  <c r="L33" i="2"/>
  <c r="X33" i="2"/>
  <c r="L188" i="2"/>
  <c r="X188" i="2"/>
  <c r="X158" i="2"/>
  <c r="L158" i="2"/>
  <c r="X67" i="2"/>
  <c r="L67" i="2"/>
  <c r="L133" i="2"/>
  <c r="X133" i="2"/>
  <c r="X177" i="2"/>
  <c r="L177" i="2"/>
  <c r="L48" i="2"/>
  <c r="X48" i="2"/>
  <c r="X63" i="2"/>
  <c r="L63" i="2"/>
  <c r="L153" i="2"/>
  <c r="X153" i="2"/>
  <c r="X123" i="2"/>
  <c r="L123" i="2"/>
  <c r="L149" i="2"/>
  <c r="X149" i="2"/>
  <c r="L66" i="2"/>
  <c r="X66" i="2"/>
  <c r="X135" i="2"/>
  <c r="L135" i="2"/>
  <c r="X68" i="2"/>
  <c r="L68" i="2"/>
  <c r="X132" i="2"/>
  <c r="L132" i="2"/>
  <c r="L47" i="2"/>
  <c r="X47" i="2"/>
  <c r="L193" i="2"/>
  <c r="X193" i="2"/>
  <c r="X21" i="2"/>
  <c r="L21" i="2"/>
  <c r="X155" i="2"/>
  <c r="L155" i="2"/>
  <c r="L59" i="2"/>
  <c r="X59" i="2"/>
  <c r="L120" i="2"/>
  <c r="X120" i="2"/>
  <c r="L97" i="2"/>
  <c r="X97" i="2"/>
  <c r="X99" i="2"/>
  <c r="L99" i="2"/>
  <c r="X105" i="2"/>
  <c r="L105" i="2"/>
  <c r="L103" i="2"/>
  <c r="X103" i="2"/>
  <c r="L80" i="2"/>
  <c r="X80" i="2"/>
  <c r="X198" i="2"/>
  <c r="L198" i="2"/>
  <c r="L11" i="2"/>
  <c r="X11" i="2"/>
  <c r="L38" i="2"/>
  <c r="X38" i="2"/>
  <c r="X35" i="2"/>
  <c r="L35" i="2"/>
  <c r="X30" i="2"/>
  <c r="L30" i="2"/>
  <c r="X168" i="2"/>
  <c r="L168" i="2"/>
  <c r="L31" i="2"/>
  <c r="X31" i="2"/>
  <c r="X146" i="2"/>
  <c r="L146" i="2"/>
  <c r="L51" i="2"/>
  <c r="X51" i="2"/>
  <c r="X76" i="2"/>
  <c r="L76" i="2"/>
  <c r="AH76" i="2" s="1"/>
  <c r="L34" i="2"/>
  <c r="X34" i="2"/>
  <c r="L197" i="2"/>
  <c r="X197" i="2"/>
  <c r="J165" i="2"/>
  <c r="O90" i="8"/>
  <c r="X41" i="2"/>
  <c r="L41" i="2"/>
  <c r="X125" i="2"/>
  <c r="L125" i="2"/>
  <c r="L15" i="2"/>
  <c r="X15" i="2"/>
  <c r="L56" i="2"/>
  <c r="X56" i="2"/>
  <c r="L57" i="2"/>
  <c r="X57" i="2"/>
  <c r="L115" i="2"/>
  <c r="X115" i="2"/>
  <c r="X46" i="2"/>
  <c r="L46" i="2"/>
  <c r="L17" i="2"/>
  <c r="X17" i="2"/>
  <c r="X114" i="2"/>
  <c r="L114" i="2"/>
  <c r="X61" i="2"/>
  <c r="L61" i="2"/>
  <c r="L60" i="2"/>
  <c r="X60" i="2"/>
  <c r="L100" i="2"/>
  <c r="X100" i="2"/>
  <c r="L18" i="2"/>
  <c r="X18" i="2"/>
  <c r="X190" i="2"/>
  <c r="L190" i="2"/>
  <c r="X12" i="2"/>
  <c r="L12" i="2"/>
  <c r="L10" i="2"/>
  <c r="X10" i="2"/>
  <c r="X90" i="2"/>
  <c r="L90" i="2"/>
  <c r="L22" i="2"/>
  <c r="X22" i="2"/>
  <c r="X107" i="2"/>
  <c r="L107" i="2"/>
  <c r="L72" i="2"/>
  <c r="X72" i="2"/>
  <c r="X192" i="2"/>
  <c r="L192" i="2"/>
  <c r="X183" i="2"/>
  <c r="L183" i="2"/>
  <c r="X50" i="2"/>
  <c r="L50" i="2"/>
  <c r="I200" i="2"/>
  <c r="B30" i="1" s="1"/>
  <c r="E21" i="1"/>
  <c r="E20" i="1"/>
  <c r="E19" i="1"/>
  <c r="E17" i="1"/>
  <c r="E18" i="1"/>
  <c r="S122" i="2"/>
  <c r="Z122" i="2"/>
  <c r="AH122" i="2"/>
  <c r="S113" i="2"/>
  <c r="Z113" i="2"/>
  <c r="AH113" i="2"/>
  <c r="S101" i="2"/>
  <c r="Z101" i="2"/>
  <c r="AH101" i="2"/>
  <c r="S147" i="2"/>
  <c r="Z147" i="2"/>
  <c r="AH147" i="2"/>
  <c r="S54" i="2"/>
  <c r="Z54" i="2"/>
  <c r="AH54" i="2"/>
  <c r="S76" i="2"/>
  <c r="Z76" i="2"/>
  <c r="S34" i="2"/>
  <c r="S142" i="2"/>
  <c r="Z142" i="2"/>
  <c r="AH142" i="2"/>
  <c r="S88" i="2"/>
  <c r="Z88" i="2"/>
  <c r="AH88" i="2"/>
  <c r="S129" i="2"/>
  <c r="Z129" i="2"/>
  <c r="AH129" i="2"/>
  <c r="S150" i="2"/>
  <c r="Z150" i="2"/>
  <c r="AH150" i="2"/>
  <c r="S195" i="2"/>
  <c r="Z195" i="2"/>
  <c r="AH195" i="2"/>
  <c r="S78" i="2"/>
  <c r="Z78" i="2"/>
  <c r="AH78" i="2"/>
  <c r="S84" i="2"/>
  <c r="Z84" i="2"/>
  <c r="AH84" i="2"/>
  <c r="S58" i="2"/>
  <c r="Z58" i="2"/>
  <c r="AH58" i="2"/>
  <c r="S19" i="2"/>
  <c r="Z19" i="2"/>
  <c r="AH19" i="2"/>
  <c r="S196" i="2"/>
  <c r="Z196" i="2"/>
  <c r="AH196" i="2"/>
  <c r="S111" i="2"/>
  <c r="Z111" i="2"/>
  <c r="AH111" i="2"/>
  <c r="S49" i="2"/>
  <c r="Z49" i="2"/>
  <c r="AH49" i="2"/>
  <c r="S152" i="2"/>
  <c r="Z152" i="2"/>
  <c r="AH152" i="2"/>
  <c r="S94" i="2"/>
  <c r="Z94" i="2"/>
  <c r="AH94" i="2"/>
  <c r="S70" i="2"/>
  <c r="Z70" i="2"/>
  <c r="AH70" i="2"/>
  <c r="S127" i="2"/>
  <c r="Z127" i="2"/>
  <c r="AH127" i="2"/>
  <c r="S154" i="2"/>
  <c r="Z154" i="2"/>
  <c r="AH154" i="2"/>
  <c r="S141" i="2"/>
  <c r="Z141" i="2"/>
  <c r="AH141" i="2"/>
  <c r="S121" i="2"/>
  <c r="Z121" i="2"/>
  <c r="AH121" i="2"/>
  <c r="S110" i="2"/>
  <c r="Z110" i="2"/>
  <c r="AH110" i="2"/>
  <c r="S186" i="2"/>
  <c r="Z186" i="2"/>
  <c r="AH186" i="2"/>
  <c r="S187" i="2"/>
  <c r="Z187" i="2"/>
  <c r="AH187" i="2"/>
  <c r="S95" i="2"/>
  <c r="Z95" i="2"/>
  <c r="AH95" i="2"/>
  <c r="S124" i="2"/>
  <c r="Z124" i="2"/>
  <c r="AH124" i="2"/>
  <c r="S44" i="2"/>
  <c r="Z44" i="2"/>
  <c r="AH44" i="2"/>
  <c r="S145" i="2"/>
  <c r="Z145" i="2"/>
  <c r="AH145" i="2"/>
  <c r="S144" i="2"/>
  <c r="Z144" i="2"/>
  <c r="AH144" i="2"/>
  <c r="S143" i="2"/>
  <c r="Z143" i="2"/>
  <c r="AH143" i="2"/>
  <c r="S26" i="2"/>
  <c r="Z26" i="2"/>
  <c r="AH26" i="2"/>
  <c r="S169" i="2"/>
  <c r="Z169" i="2"/>
  <c r="AH169" i="2"/>
  <c r="S25" i="2"/>
  <c r="Z25" i="2"/>
  <c r="AH25" i="2"/>
  <c r="S164" i="2"/>
  <c r="Z164" i="2"/>
  <c r="AH164" i="2"/>
  <c r="S42" i="2"/>
  <c r="Z42" i="2"/>
  <c r="AH42" i="2"/>
  <c r="S104" i="2"/>
  <c r="Z104" i="2"/>
  <c r="AH104" i="2"/>
  <c r="S170" i="2"/>
  <c r="Z170" i="2"/>
  <c r="AH170" i="2"/>
  <c r="S71" i="2"/>
  <c r="Z71" i="2"/>
  <c r="AH71" i="2"/>
  <c r="S156" i="2"/>
  <c r="Z156" i="2"/>
  <c r="AH156" i="2"/>
  <c r="S194" i="2"/>
  <c r="Z194" i="2"/>
  <c r="AH194" i="2"/>
  <c r="S148" i="2"/>
  <c r="Z148" i="2"/>
  <c r="AH148" i="2"/>
  <c r="S16" i="2"/>
  <c r="Z16" i="2"/>
  <c r="AH16" i="2"/>
  <c r="S45" i="2"/>
  <c r="Z45" i="2"/>
  <c r="AH45" i="2"/>
  <c r="S174" i="2"/>
  <c r="Z174" i="2"/>
  <c r="AH174" i="2"/>
  <c r="S112" i="2"/>
  <c r="Z112" i="2"/>
  <c r="AH112" i="2"/>
  <c r="S32" i="2"/>
  <c r="Z32" i="2"/>
  <c r="AH32" i="2"/>
  <c r="S163" i="2"/>
  <c r="Z163" i="2"/>
  <c r="AH163" i="2"/>
  <c r="S89" i="2"/>
  <c r="Z89" i="2"/>
  <c r="AH89" i="2"/>
  <c r="S69" i="2"/>
  <c r="Z69" i="2"/>
  <c r="AH69" i="2"/>
  <c r="S87" i="2"/>
  <c r="Z87" i="2"/>
  <c r="AH87" i="2"/>
  <c r="S52" i="2"/>
  <c r="Z52" i="2"/>
  <c r="AH52" i="2"/>
  <c r="S199" i="2"/>
  <c r="Z199" i="2"/>
  <c r="AH199" i="2"/>
  <c r="S182" i="2"/>
  <c r="Z182" i="2"/>
  <c r="AH182" i="2"/>
  <c r="S53" i="2"/>
  <c r="Z53" i="2"/>
  <c r="AH53" i="2"/>
  <c r="S131" i="2"/>
  <c r="Z131" i="2"/>
  <c r="AH131" i="2"/>
  <c r="S37" i="2"/>
  <c r="Z37" i="2"/>
  <c r="AH37" i="2"/>
  <c r="S134" i="2"/>
  <c r="Z134" i="2"/>
  <c r="AH134" i="2"/>
  <c r="S136" i="2"/>
  <c r="Z136" i="2"/>
  <c r="AH136" i="2"/>
  <c r="S151" i="2"/>
  <c r="Z151" i="2"/>
  <c r="AH151" i="2"/>
  <c r="S171" i="2"/>
  <c r="Z171" i="2"/>
  <c r="AH171" i="2"/>
  <c r="S191" i="2"/>
  <c r="Z191" i="2"/>
  <c r="AH191" i="2"/>
  <c r="S189" i="2"/>
  <c r="Z189" i="2"/>
  <c r="AH189" i="2"/>
  <c r="S138" i="2"/>
  <c r="Z138" i="2"/>
  <c r="AH138" i="2"/>
  <c r="S64" i="2"/>
  <c r="Z64" i="2"/>
  <c r="AH64" i="2"/>
  <c r="S20" i="2"/>
  <c r="Z20" i="2"/>
  <c r="AH20" i="2"/>
  <c r="S172" i="2"/>
  <c r="Z172" i="2"/>
  <c r="AH172" i="2"/>
  <c r="S85" i="2"/>
  <c r="Z85" i="2"/>
  <c r="AH85" i="2"/>
  <c r="S128" i="2"/>
  <c r="Z128" i="2"/>
  <c r="AH128" i="2"/>
  <c r="S118" i="2"/>
  <c r="Z118" i="2"/>
  <c r="AH118" i="2"/>
  <c r="S79" i="2"/>
  <c r="Z79" i="2"/>
  <c r="AH79" i="2"/>
  <c r="S43" i="2"/>
  <c r="Z43" i="2"/>
  <c r="AH43" i="2"/>
  <c r="S36" i="2"/>
  <c r="Z36" i="2"/>
  <c r="AH36" i="2"/>
  <c r="S92" i="2"/>
  <c r="Z92" i="2"/>
  <c r="AH92" i="2"/>
  <c r="S175" i="2"/>
  <c r="Z175" i="2"/>
  <c r="AH175" i="2"/>
  <c r="S91" i="2"/>
  <c r="Z91" i="2"/>
  <c r="AH91" i="2"/>
  <c r="S13" i="2"/>
  <c r="Z13" i="2"/>
  <c r="AH13" i="2"/>
  <c r="S161" i="2"/>
  <c r="Z161" i="2"/>
  <c r="AH161" i="2"/>
  <c r="S157" i="2"/>
  <c r="Z157" i="2"/>
  <c r="AH157" i="2"/>
  <c r="S65" i="2"/>
  <c r="Z65" i="2"/>
  <c r="AH65" i="2"/>
  <c r="S167" i="2"/>
  <c r="Z167" i="2"/>
  <c r="AH167" i="2"/>
  <c r="S108" i="2"/>
  <c r="Z108" i="2"/>
  <c r="AH108" i="2"/>
  <c r="S40" i="2"/>
  <c r="Z40" i="2"/>
  <c r="AH40" i="2"/>
  <c r="L159" i="2"/>
  <c r="X159" i="2"/>
  <c r="L178" i="2"/>
  <c r="X178" i="2"/>
  <c r="L74" i="2"/>
  <c r="X74" i="2"/>
  <c r="L185" i="2"/>
  <c r="X185" i="2"/>
  <c r="L137" i="2"/>
  <c r="X137" i="2"/>
  <c r="L14" i="2"/>
  <c r="X14" i="2"/>
  <c r="L28" i="2"/>
  <c r="X28" i="2"/>
  <c r="L24" i="2"/>
  <c r="X24" i="2"/>
  <c r="L7" i="2"/>
  <c r="X7" i="2"/>
  <c r="L39" i="2"/>
  <c r="X39" i="2"/>
  <c r="L126" i="2"/>
  <c r="X126" i="2"/>
  <c r="L82" i="2"/>
  <c r="X82" i="2"/>
  <c r="L179" i="2"/>
  <c r="X179" i="2"/>
  <c r="L96" i="2"/>
  <c r="X96" i="2"/>
  <c r="L5" i="2"/>
  <c r="O204" i="8"/>
  <c r="L86" i="2"/>
  <c r="X86" i="2"/>
  <c r="L160" i="2"/>
  <c r="X160" i="2"/>
  <c r="L117" i="2"/>
  <c r="X117" i="2"/>
  <c r="L116" i="2"/>
  <c r="X116" i="2"/>
  <c r="L55" i="2"/>
  <c r="X55" i="2"/>
  <c r="L81" i="2"/>
  <c r="X81" i="2"/>
  <c r="J6" i="11"/>
  <c r="J14" i="11"/>
  <c r="S59" i="2" l="1"/>
  <c r="Z59" i="2"/>
  <c r="AH59" i="2"/>
  <c r="Z34" i="2"/>
  <c r="AH34" i="2"/>
  <c r="S197" i="2"/>
  <c r="Z197" i="2"/>
  <c r="AH197" i="2"/>
  <c r="S139" i="2"/>
  <c r="Z139" i="2"/>
  <c r="AH139" i="2"/>
  <c r="S51" i="2"/>
  <c r="Z51" i="2"/>
  <c r="AH51" i="2"/>
  <c r="Z6" i="2"/>
  <c r="AH6" i="2"/>
  <c r="S6" i="2"/>
  <c r="J200" i="2"/>
  <c r="X200" i="2" s="1"/>
  <c r="X9" i="2"/>
  <c r="L9" i="2"/>
  <c r="X119" i="2"/>
  <c r="L119" i="2"/>
  <c r="Z166" i="2"/>
  <c r="AH166" i="2"/>
  <c r="S166" i="2"/>
  <c r="AH73" i="2"/>
  <c r="Z73" i="2"/>
  <c r="S73" i="2"/>
  <c r="S29" i="2"/>
  <c r="AH29" i="2"/>
  <c r="Z29" i="2"/>
  <c r="S130" i="2"/>
  <c r="Z130" i="2"/>
  <c r="AH130" i="2"/>
  <c r="S177" i="2"/>
  <c r="Z177" i="2"/>
  <c r="AH177" i="2"/>
  <c r="S48" i="2"/>
  <c r="Z48" i="2"/>
  <c r="AH48" i="2"/>
  <c r="Z63" i="2"/>
  <c r="AH63" i="2"/>
  <c r="S63" i="2"/>
  <c r="S153" i="2"/>
  <c r="Z153" i="2"/>
  <c r="AH153" i="2"/>
  <c r="S123" i="2"/>
  <c r="AH123" i="2"/>
  <c r="Z123" i="2"/>
  <c r="S193" i="2"/>
  <c r="AH193" i="2"/>
  <c r="Z193" i="2"/>
  <c r="Z102" i="2"/>
  <c r="S102" i="2"/>
  <c r="AH102" i="2"/>
  <c r="AH173" i="2"/>
  <c r="Z173" i="2"/>
  <c r="S173" i="2"/>
  <c r="AH77" i="2"/>
  <c r="S77" i="2"/>
  <c r="Z77" i="2"/>
  <c r="AH176" i="2"/>
  <c r="Z176" i="2"/>
  <c r="S176" i="2"/>
  <c r="S8" i="2"/>
  <c r="AH8" i="2"/>
  <c r="Z8" i="2"/>
  <c r="AH106" i="2"/>
  <c r="S106" i="2"/>
  <c r="Z106" i="2"/>
  <c r="S83" i="2"/>
  <c r="Z83" i="2"/>
  <c r="AH83" i="2"/>
  <c r="AH23" i="2"/>
  <c r="S23" i="2"/>
  <c r="Z23" i="2"/>
  <c r="Z27" i="2"/>
  <c r="AH27" i="2"/>
  <c r="S27" i="2"/>
  <c r="AH162" i="2"/>
  <c r="S162" i="2"/>
  <c r="Z162" i="2"/>
  <c r="S62" i="2"/>
  <c r="Z62" i="2"/>
  <c r="AH62" i="2"/>
  <c r="Z98" i="2"/>
  <c r="S98" i="2"/>
  <c r="AH98" i="2"/>
  <c r="S93" i="2"/>
  <c r="Z93" i="2"/>
  <c r="AH93" i="2"/>
  <c r="Z140" i="2"/>
  <c r="AH140" i="2"/>
  <c r="S140" i="2"/>
  <c r="S109" i="2"/>
  <c r="Z109" i="2"/>
  <c r="AH109" i="2"/>
  <c r="S180" i="2"/>
  <c r="AH180" i="2"/>
  <c r="Z180" i="2"/>
  <c r="S181" i="2"/>
  <c r="Z181" i="2"/>
  <c r="AH181" i="2"/>
  <c r="Z33" i="2"/>
  <c r="AH33" i="2"/>
  <c r="S33" i="2"/>
  <c r="AH188" i="2"/>
  <c r="Z188" i="2"/>
  <c r="S188" i="2"/>
  <c r="S158" i="2"/>
  <c r="Z158" i="2"/>
  <c r="AH158" i="2"/>
  <c r="Z67" i="2"/>
  <c r="S67" i="2"/>
  <c r="AH67" i="2"/>
  <c r="AH133" i="2"/>
  <c r="Z133" i="2"/>
  <c r="S133" i="2"/>
  <c r="S149" i="2"/>
  <c r="Z149" i="2"/>
  <c r="AH149" i="2"/>
  <c r="AH66" i="2"/>
  <c r="Z66" i="2"/>
  <c r="S66" i="2"/>
  <c r="S135" i="2"/>
  <c r="Z135" i="2"/>
  <c r="AH135" i="2"/>
  <c r="AH68" i="2"/>
  <c r="S68" i="2"/>
  <c r="Z68" i="2"/>
  <c r="Z132" i="2"/>
  <c r="S132" i="2"/>
  <c r="AH132" i="2"/>
  <c r="S47" i="2"/>
  <c r="Z47" i="2"/>
  <c r="AH47" i="2"/>
  <c r="S21" i="2"/>
  <c r="AH21" i="2"/>
  <c r="Z21" i="2"/>
  <c r="Z155" i="2"/>
  <c r="S155" i="2"/>
  <c r="AH155" i="2"/>
  <c r="S105" i="2"/>
  <c r="Z105" i="2"/>
  <c r="AH105" i="2"/>
  <c r="Z103" i="2"/>
  <c r="AH103" i="2"/>
  <c r="S103" i="2"/>
  <c r="S80" i="2"/>
  <c r="Z80" i="2"/>
  <c r="AH80" i="2"/>
  <c r="Z11" i="2"/>
  <c r="S11" i="2"/>
  <c r="AH11" i="2"/>
  <c r="AH38" i="2"/>
  <c r="Z38" i="2"/>
  <c r="S38" i="2"/>
  <c r="S35" i="2"/>
  <c r="AH35" i="2"/>
  <c r="Z35" i="2"/>
  <c r="AH30" i="2"/>
  <c r="S30" i="2"/>
  <c r="Z30" i="2"/>
  <c r="S168" i="2"/>
  <c r="Z168" i="2"/>
  <c r="AH168" i="2"/>
  <c r="S31" i="2"/>
  <c r="Z31" i="2"/>
  <c r="AH31" i="2"/>
  <c r="AH146" i="2"/>
  <c r="Z146" i="2"/>
  <c r="S146" i="2"/>
  <c r="O205" i="8"/>
  <c r="O200" i="8"/>
  <c r="S120" i="2"/>
  <c r="Z120" i="2"/>
  <c r="AH120" i="2"/>
  <c r="S97" i="2"/>
  <c r="Z97" i="2"/>
  <c r="AH97" i="2"/>
  <c r="S99" i="2"/>
  <c r="Z99" i="2"/>
  <c r="AH99" i="2"/>
  <c r="S198" i="2"/>
  <c r="Z198" i="2"/>
  <c r="AH198" i="2"/>
  <c r="X165" i="2"/>
  <c r="L165" i="2"/>
  <c r="Z41" i="2"/>
  <c r="AH41" i="2"/>
  <c r="S41" i="2"/>
  <c r="AH125" i="2"/>
  <c r="S125" i="2"/>
  <c r="Z125" i="2"/>
  <c r="AH15" i="2"/>
  <c r="Z15" i="2"/>
  <c r="S15" i="2"/>
  <c r="S56" i="2"/>
  <c r="Z56" i="2"/>
  <c r="AH56" i="2"/>
  <c r="S57" i="2"/>
  <c r="Z57" i="2"/>
  <c r="AH57" i="2"/>
  <c r="S115" i="2"/>
  <c r="AH115" i="2"/>
  <c r="Z115" i="2"/>
  <c r="S46" i="2"/>
  <c r="Z46" i="2"/>
  <c r="AH46" i="2"/>
  <c r="Z17" i="2"/>
  <c r="S17" i="2"/>
  <c r="AH17" i="2"/>
  <c r="AH114" i="2"/>
  <c r="Z114" i="2"/>
  <c r="S114" i="2"/>
  <c r="S61" i="2"/>
  <c r="Z61" i="2"/>
  <c r="AH61" i="2"/>
  <c r="AH60" i="2"/>
  <c r="S60" i="2"/>
  <c r="Z60" i="2"/>
  <c r="S100" i="2"/>
  <c r="Z100" i="2"/>
  <c r="AH100" i="2"/>
  <c r="S18" i="2"/>
  <c r="Z18" i="2"/>
  <c r="AH18" i="2"/>
  <c r="S190" i="2"/>
  <c r="AH190" i="2"/>
  <c r="Z190" i="2"/>
  <c r="S12" i="2"/>
  <c r="Z12" i="2"/>
  <c r="AH12" i="2"/>
  <c r="S10" i="2"/>
  <c r="Z10" i="2"/>
  <c r="AH10" i="2"/>
  <c r="Z90" i="2"/>
  <c r="AH90" i="2"/>
  <c r="S90" i="2"/>
  <c r="Z22" i="2"/>
  <c r="AH22" i="2"/>
  <c r="S22" i="2"/>
  <c r="S107" i="2"/>
  <c r="AH107" i="2"/>
  <c r="Z107" i="2"/>
  <c r="S72" i="2"/>
  <c r="AH72" i="2"/>
  <c r="Z72" i="2"/>
  <c r="S192" i="2"/>
  <c r="AH192" i="2"/>
  <c r="Z192" i="2"/>
  <c r="AH183" i="2"/>
  <c r="Z183" i="2"/>
  <c r="S183" i="2"/>
  <c r="Z50" i="2"/>
  <c r="S50" i="2"/>
  <c r="AH50" i="2"/>
  <c r="B5" i="1"/>
  <c r="B7" i="1" s="1"/>
  <c r="T122" i="2"/>
  <c r="U122" i="2"/>
  <c r="V122" i="2"/>
  <c r="Y122" i="2"/>
  <c r="AA122" i="2"/>
  <c r="AB122" i="2" s="1"/>
  <c r="T113" i="2"/>
  <c r="U113" i="2"/>
  <c r="V113" i="2"/>
  <c r="Y113" i="2"/>
  <c r="AA113" i="2"/>
  <c r="AB113" i="2" s="1"/>
  <c r="T101" i="2"/>
  <c r="U101" i="2"/>
  <c r="V101" i="2"/>
  <c r="Y101" i="2"/>
  <c r="AA101" i="2"/>
  <c r="AB101" i="2" s="1"/>
  <c r="T147" i="2"/>
  <c r="U147" i="2"/>
  <c r="V147" i="2"/>
  <c r="Y147" i="2"/>
  <c r="AA147" i="2"/>
  <c r="AB147" i="2" s="1"/>
  <c r="T54" i="2"/>
  <c r="U54" i="2"/>
  <c r="V54" i="2"/>
  <c r="Y54" i="2"/>
  <c r="AA54" i="2"/>
  <c r="AB54" i="2" s="1"/>
  <c r="T76" i="2"/>
  <c r="U76" i="2"/>
  <c r="V76" i="2"/>
  <c r="Y76" i="2"/>
  <c r="AA76" i="2"/>
  <c r="AB76" i="2" s="1"/>
  <c r="T34" i="2"/>
  <c r="U34" i="2"/>
  <c r="V34" i="2"/>
  <c r="Y34" i="2"/>
  <c r="AA34" i="2"/>
  <c r="AB34" i="2" s="1"/>
  <c r="T142" i="2"/>
  <c r="U142" i="2"/>
  <c r="V142" i="2"/>
  <c r="Y142" i="2"/>
  <c r="AA142" i="2"/>
  <c r="AB142" i="2" s="1"/>
  <c r="T88" i="2"/>
  <c r="U88" i="2"/>
  <c r="V88" i="2"/>
  <c r="Y88" i="2"/>
  <c r="AA88" i="2"/>
  <c r="AB88" i="2" s="1"/>
  <c r="T129" i="2"/>
  <c r="U129" i="2"/>
  <c r="V129" i="2"/>
  <c r="Y129" i="2"/>
  <c r="AA129" i="2"/>
  <c r="AB129" i="2" s="1"/>
  <c r="T150" i="2"/>
  <c r="U150" i="2"/>
  <c r="V150" i="2"/>
  <c r="Y150" i="2"/>
  <c r="AA150" i="2"/>
  <c r="AB150" i="2" s="1"/>
  <c r="T195" i="2"/>
  <c r="U195" i="2"/>
  <c r="V195" i="2"/>
  <c r="Y195" i="2"/>
  <c r="AA195" i="2"/>
  <c r="AB195" i="2" s="1"/>
  <c r="T78" i="2"/>
  <c r="U78" i="2"/>
  <c r="V78" i="2"/>
  <c r="Y78" i="2"/>
  <c r="AA78" i="2"/>
  <c r="AB78" i="2" s="1"/>
  <c r="T84" i="2"/>
  <c r="U84" i="2"/>
  <c r="V84" i="2"/>
  <c r="Y84" i="2"/>
  <c r="AA84" i="2"/>
  <c r="AB84" i="2" s="1"/>
  <c r="T58" i="2"/>
  <c r="U58" i="2"/>
  <c r="V58" i="2"/>
  <c r="Y58" i="2"/>
  <c r="AA58" i="2"/>
  <c r="AB58" i="2" s="1"/>
  <c r="T19" i="2"/>
  <c r="U19" i="2"/>
  <c r="V19" i="2"/>
  <c r="Y19" i="2"/>
  <c r="AA19" i="2"/>
  <c r="AB19" i="2" s="1"/>
  <c r="T196" i="2"/>
  <c r="U196" i="2"/>
  <c r="V196" i="2"/>
  <c r="Y196" i="2"/>
  <c r="AA196" i="2"/>
  <c r="AB196" i="2" s="1"/>
  <c r="T111" i="2"/>
  <c r="U111" i="2"/>
  <c r="V111" i="2"/>
  <c r="Y111" i="2"/>
  <c r="AA111" i="2"/>
  <c r="AB111" i="2" s="1"/>
  <c r="T49" i="2"/>
  <c r="U49" i="2"/>
  <c r="V49" i="2"/>
  <c r="Y49" i="2"/>
  <c r="AA49" i="2"/>
  <c r="AB49" i="2" s="1"/>
  <c r="T152" i="2"/>
  <c r="U152" i="2"/>
  <c r="V152" i="2"/>
  <c r="Y152" i="2"/>
  <c r="AA152" i="2"/>
  <c r="AB152" i="2" s="1"/>
  <c r="T94" i="2"/>
  <c r="U94" i="2"/>
  <c r="V94" i="2"/>
  <c r="Y94" i="2"/>
  <c r="AA94" i="2"/>
  <c r="AB94" i="2" s="1"/>
  <c r="T70" i="2"/>
  <c r="U70" i="2"/>
  <c r="V70" i="2"/>
  <c r="Y70" i="2"/>
  <c r="AA70" i="2"/>
  <c r="AB70" i="2" s="1"/>
  <c r="T127" i="2"/>
  <c r="U127" i="2"/>
  <c r="V127" i="2"/>
  <c r="Y127" i="2"/>
  <c r="AA127" i="2"/>
  <c r="AB127" i="2" s="1"/>
  <c r="T154" i="2"/>
  <c r="U154" i="2"/>
  <c r="V154" i="2"/>
  <c r="Y154" i="2"/>
  <c r="AA154" i="2"/>
  <c r="AB154" i="2" s="1"/>
  <c r="T141" i="2"/>
  <c r="U141" i="2"/>
  <c r="V141" i="2"/>
  <c r="Y141" i="2"/>
  <c r="AA141" i="2"/>
  <c r="AB141" i="2" s="1"/>
  <c r="T121" i="2"/>
  <c r="U121" i="2"/>
  <c r="V121" i="2"/>
  <c r="Y121" i="2"/>
  <c r="AA121" i="2"/>
  <c r="AB121" i="2" s="1"/>
  <c r="T110" i="2"/>
  <c r="U110" i="2"/>
  <c r="V110" i="2"/>
  <c r="Y110" i="2"/>
  <c r="AA110" i="2"/>
  <c r="AB110" i="2" s="1"/>
  <c r="T186" i="2"/>
  <c r="U186" i="2"/>
  <c r="V186" i="2"/>
  <c r="Y186" i="2"/>
  <c r="AA186" i="2"/>
  <c r="AB186" i="2" s="1"/>
  <c r="T187" i="2"/>
  <c r="U187" i="2"/>
  <c r="V187" i="2"/>
  <c r="Y187" i="2"/>
  <c r="AA187" i="2"/>
  <c r="AB187" i="2" s="1"/>
  <c r="T95" i="2"/>
  <c r="U95" i="2"/>
  <c r="V95" i="2"/>
  <c r="Y95" i="2"/>
  <c r="AA95" i="2"/>
  <c r="AB95" i="2" s="1"/>
  <c r="T124" i="2"/>
  <c r="U124" i="2"/>
  <c r="V124" i="2"/>
  <c r="Y124" i="2"/>
  <c r="AA124" i="2"/>
  <c r="AB124" i="2" s="1"/>
  <c r="T44" i="2"/>
  <c r="U44" i="2"/>
  <c r="V44" i="2"/>
  <c r="Y44" i="2"/>
  <c r="AA44" i="2"/>
  <c r="AB44" i="2" s="1"/>
  <c r="T145" i="2"/>
  <c r="U145" i="2"/>
  <c r="V145" i="2"/>
  <c r="Y145" i="2"/>
  <c r="AA145" i="2"/>
  <c r="AB145" i="2" s="1"/>
  <c r="T144" i="2"/>
  <c r="U144" i="2"/>
  <c r="V144" i="2"/>
  <c r="Y144" i="2"/>
  <c r="AA144" i="2"/>
  <c r="AB144" i="2" s="1"/>
  <c r="T143" i="2"/>
  <c r="U143" i="2"/>
  <c r="V143" i="2"/>
  <c r="Y143" i="2"/>
  <c r="AA143" i="2"/>
  <c r="AB143" i="2" s="1"/>
  <c r="T26" i="2"/>
  <c r="U26" i="2"/>
  <c r="V26" i="2"/>
  <c r="Y26" i="2"/>
  <c r="AA26" i="2"/>
  <c r="AB26" i="2" s="1"/>
  <c r="T169" i="2"/>
  <c r="U169" i="2"/>
  <c r="V169" i="2"/>
  <c r="Y169" i="2"/>
  <c r="AA169" i="2"/>
  <c r="AB169" i="2" s="1"/>
  <c r="T25" i="2"/>
  <c r="U25" i="2"/>
  <c r="V25" i="2"/>
  <c r="Y25" i="2"/>
  <c r="AA25" i="2"/>
  <c r="AB25" i="2" s="1"/>
  <c r="T164" i="2"/>
  <c r="U164" i="2"/>
  <c r="V164" i="2"/>
  <c r="Y164" i="2"/>
  <c r="AA164" i="2"/>
  <c r="AB164" i="2" s="1"/>
  <c r="T42" i="2"/>
  <c r="U42" i="2"/>
  <c r="V42" i="2"/>
  <c r="Y42" i="2"/>
  <c r="AA42" i="2"/>
  <c r="AB42" i="2" s="1"/>
  <c r="T104" i="2"/>
  <c r="U104" i="2"/>
  <c r="V104" i="2"/>
  <c r="Y104" i="2"/>
  <c r="AA104" i="2"/>
  <c r="AB104" i="2" s="1"/>
  <c r="T170" i="2"/>
  <c r="U170" i="2"/>
  <c r="V170" i="2"/>
  <c r="Y170" i="2"/>
  <c r="AA170" i="2"/>
  <c r="AB170" i="2" s="1"/>
  <c r="T71" i="2"/>
  <c r="U71" i="2"/>
  <c r="V71" i="2"/>
  <c r="Y71" i="2"/>
  <c r="AA71" i="2"/>
  <c r="AB71" i="2" s="1"/>
  <c r="T156" i="2"/>
  <c r="U156" i="2"/>
  <c r="V156" i="2"/>
  <c r="Y156" i="2"/>
  <c r="AA156" i="2"/>
  <c r="AB156" i="2" s="1"/>
  <c r="T194" i="2"/>
  <c r="U194" i="2"/>
  <c r="V194" i="2"/>
  <c r="Y194" i="2"/>
  <c r="AA194" i="2"/>
  <c r="AB194" i="2" s="1"/>
  <c r="T148" i="2"/>
  <c r="U148" i="2"/>
  <c r="V148" i="2"/>
  <c r="Y148" i="2"/>
  <c r="AA148" i="2"/>
  <c r="AB148" i="2" s="1"/>
  <c r="T16" i="2"/>
  <c r="U16" i="2"/>
  <c r="V16" i="2"/>
  <c r="Y16" i="2"/>
  <c r="AA16" i="2"/>
  <c r="AB16" i="2" s="1"/>
  <c r="T45" i="2"/>
  <c r="U45" i="2"/>
  <c r="V45" i="2"/>
  <c r="Y45" i="2"/>
  <c r="AA45" i="2"/>
  <c r="AB45" i="2" s="1"/>
  <c r="T174" i="2"/>
  <c r="U174" i="2"/>
  <c r="V174" i="2"/>
  <c r="Y174" i="2"/>
  <c r="AA174" i="2"/>
  <c r="AB174" i="2" s="1"/>
  <c r="T112" i="2"/>
  <c r="U112" i="2"/>
  <c r="V112" i="2"/>
  <c r="Y112" i="2"/>
  <c r="AA112" i="2"/>
  <c r="AB112" i="2" s="1"/>
  <c r="T32" i="2"/>
  <c r="U32" i="2"/>
  <c r="V32" i="2"/>
  <c r="Y32" i="2"/>
  <c r="AA32" i="2"/>
  <c r="AB32" i="2" s="1"/>
  <c r="T163" i="2"/>
  <c r="U163" i="2"/>
  <c r="V163" i="2"/>
  <c r="Y163" i="2"/>
  <c r="AA163" i="2"/>
  <c r="AB163" i="2" s="1"/>
  <c r="T89" i="2"/>
  <c r="U89" i="2"/>
  <c r="V89" i="2"/>
  <c r="Y89" i="2"/>
  <c r="AA89" i="2"/>
  <c r="AB89" i="2" s="1"/>
  <c r="T69" i="2"/>
  <c r="U69" i="2"/>
  <c r="V69" i="2"/>
  <c r="Y69" i="2"/>
  <c r="AA69" i="2"/>
  <c r="AB69" i="2" s="1"/>
  <c r="T87" i="2"/>
  <c r="U87" i="2"/>
  <c r="V87" i="2"/>
  <c r="Y87" i="2"/>
  <c r="AA87" i="2"/>
  <c r="AB87" i="2" s="1"/>
  <c r="T52" i="2"/>
  <c r="U52" i="2"/>
  <c r="V52" i="2"/>
  <c r="Y52" i="2"/>
  <c r="AA52" i="2"/>
  <c r="AB52" i="2" s="1"/>
  <c r="T199" i="2"/>
  <c r="U199" i="2"/>
  <c r="V199" i="2"/>
  <c r="Y199" i="2"/>
  <c r="AA199" i="2"/>
  <c r="AB199" i="2" s="1"/>
  <c r="T182" i="2"/>
  <c r="U182" i="2"/>
  <c r="V182" i="2"/>
  <c r="Y182" i="2"/>
  <c r="AA182" i="2"/>
  <c r="AB182" i="2" s="1"/>
  <c r="T53" i="2"/>
  <c r="U53" i="2"/>
  <c r="V53" i="2"/>
  <c r="Y53" i="2"/>
  <c r="AA53" i="2"/>
  <c r="AB53" i="2" s="1"/>
  <c r="T131" i="2"/>
  <c r="U131" i="2"/>
  <c r="V131" i="2"/>
  <c r="Y131" i="2"/>
  <c r="AA131" i="2"/>
  <c r="AB131" i="2" s="1"/>
  <c r="T37" i="2"/>
  <c r="U37" i="2"/>
  <c r="V37" i="2"/>
  <c r="Y37" i="2"/>
  <c r="AA37" i="2"/>
  <c r="AB37" i="2" s="1"/>
  <c r="T134" i="2"/>
  <c r="U134" i="2"/>
  <c r="V134" i="2"/>
  <c r="Y134" i="2"/>
  <c r="AA134" i="2"/>
  <c r="AB134" i="2" s="1"/>
  <c r="T136" i="2"/>
  <c r="U136" i="2"/>
  <c r="V136" i="2"/>
  <c r="Y136" i="2"/>
  <c r="AA136" i="2"/>
  <c r="AB136" i="2" s="1"/>
  <c r="T151" i="2"/>
  <c r="U151" i="2"/>
  <c r="V151" i="2"/>
  <c r="Y151" i="2"/>
  <c r="AA151" i="2"/>
  <c r="AB151" i="2" s="1"/>
  <c r="T171" i="2"/>
  <c r="U171" i="2"/>
  <c r="V171" i="2"/>
  <c r="Y171" i="2"/>
  <c r="AA171" i="2"/>
  <c r="AB171" i="2" s="1"/>
  <c r="T191" i="2"/>
  <c r="U191" i="2"/>
  <c r="V191" i="2"/>
  <c r="Y191" i="2"/>
  <c r="AA191" i="2"/>
  <c r="AB191" i="2" s="1"/>
  <c r="T189" i="2"/>
  <c r="U189" i="2"/>
  <c r="V189" i="2"/>
  <c r="Y189" i="2"/>
  <c r="AA189" i="2"/>
  <c r="AB189" i="2" s="1"/>
  <c r="T138" i="2"/>
  <c r="U138" i="2"/>
  <c r="V138" i="2"/>
  <c r="Y138" i="2"/>
  <c r="AA138" i="2"/>
  <c r="AB138" i="2" s="1"/>
  <c r="T64" i="2"/>
  <c r="U64" i="2"/>
  <c r="V64" i="2"/>
  <c r="Y64" i="2"/>
  <c r="AA64" i="2"/>
  <c r="AB64" i="2" s="1"/>
  <c r="T20" i="2"/>
  <c r="U20" i="2"/>
  <c r="V20" i="2"/>
  <c r="Y20" i="2"/>
  <c r="AA20" i="2"/>
  <c r="AB20" i="2" s="1"/>
  <c r="T172" i="2"/>
  <c r="U172" i="2"/>
  <c r="V172" i="2"/>
  <c r="Y172" i="2"/>
  <c r="AA172" i="2"/>
  <c r="AB172" i="2" s="1"/>
  <c r="T85" i="2"/>
  <c r="U85" i="2"/>
  <c r="V85" i="2"/>
  <c r="Y85" i="2"/>
  <c r="AA85" i="2"/>
  <c r="AB85" i="2" s="1"/>
  <c r="T128" i="2"/>
  <c r="U128" i="2"/>
  <c r="V128" i="2"/>
  <c r="Y128" i="2"/>
  <c r="AA128" i="2"/>
  <c r="AB128" i="2" s="1"/>
  <c r="T118" i="2"/>
  <c r="U118" i="2"/>
  <c r="V118" i="2"/>
  <c r="Y118" i="2"/>
  <c r="AA118" i="2"/>
  <c r="AB118" i="2" s="1"/>
  <c r="T79" i="2"/>
  <c r="U79" i="2"/>
  <c r="V79" i="2"/>
  <c r="Y79" i="2"/>
  <c r="AA79" i="2"/>
  <c r="AB79" i="2" s="1"/>
  <c r="T43" i="2"/>
  <c r="U43" i="2"/>
  <c r="V43" i="2"/>
  <c r="Y43" i="2"/>
  <c r="AA43" i="2"/>
  <c r="AB43" i="2" s="1"/>
  <c r="T36" i="2"/>
  <c r="U36" i="2"/>
  <c r="V36" i="2"/>
  <c r="Y36" i="2"/>
  <c r="AA36" i="2"/>
  <c r="AB36" i="2" s="1"/>
  <c r="T92" i="2"/>
  <c r="U92" i="2"/>
  <c r="V92" i="2"/>
  <c r="Y92" i="2"/>
  <c r="AA92" i="2"/>
  <c r="AB92" i="2" s="1"/>
  <c r="T175" i="2"/>
  <c r="U175" i="2"/>
  <c r="V175" i="2"/>
  <c r="Y175" i="2"/>
  <c r="AA175" i="2"/>
  <c r="AB175" i="2" s="1"/>
  <c r="T91" i="2"/>
  <c r="U91" i="2"/>
  <c r="V91" i="2"/>
  <c r="Y91" i="2"/>
  <c r="AA91" i="2"/>
  <c r="AB91" i="2" s="1"/>
  <c r="T13" i="2"/>
  <c r="U13" i="2"/>
  <c r="V13" i="2"/>
  <c r="Y13" i="2"/>
  <c r="AA13" i="2"/>
  <c r="AB13" i="2" s="1"/>
  <c r="T161" i="2"/>
  <c r="U161" i="2"/>
  <c r="V161" i="2"/>
  <c r="Y161" i="2"/>
  <c r="AA161" i="2"/>
  <c r="AB161" i="2" s="1"/>
  <c r="T157" i="2"/>
  <c r="U157" i="2"/>
  <c r="V157" i="2"/>
  <c r="Y157" i="2"/>
  <c r="AA157" i="2"/>
  <c r="AB157" i="2" s="1"/>
  <c r="T65" i="2"/>
  <c r="U65" i="2"/>
  <c r="V65" i="2"/>
  <c r="Y65" i="2"/>
  <c r="AA65" i="2"/>
  <c r="AB65" i="2" s="1"/>
  <c r="T167" i="2"/>
  <c r="U167" i="2"/>
  <c r="V167" i="2"/>
  <c r="Y167" i="2"/>
  <c r="AA167" i="2"/>
  <c r="AB167" i="2" s="1"/>
  <c r="T108" i="2"/>
  <c r="U108" i="2"/>
  <c r="V108" i="2"/>
  <c r="Y108" i="2"/>
  <c r="AA108" i="2"/>
  <c r="AB108" i="2" s="1"/>
  <c r="T40" i="2"/>
  <c r="U40" i="2"/>
  <c r="V40" i="2"/>
  <c r="Y40" i="2"/>
  <c r="AA40" i="2"/>
  <c r="AB40" i="2" s="1"/>
  <c r="S159" i="2"/>
  <c r="Z159" i="2"/>
  <c r="AH159" i="2"/>
  <c r="S178" i="2"/>
  <c r="Z178" i="2"/>
  <c r="AH178" i="2"/>
  <c r="S74" i="2"/>
  <c r="Z74" i="2"/>
  <c r="AH74" i="2"/>
  <c r="S185" i="2"/>
  <c r="Z185" i="2"/>
  <c r="AH185" i="2"/>
  <c r="S137" i="2"/>
  <c r="Z137" i="2"/>
  <c r="AH137" i="2"/>
  <c r="S14" i="2"/>
  <c r="Z14" i="2"/>
  <c r="AH14" i="2"/>
  <c r="S28" i="2"/>
  <c r="Z28" i="2"/>
  <c r="AH28" i="2"/>
  <c r="S24" i="2"/>
  <c r="Z24" i="2"/>
  <c r="AH24" i="2"/>
  <c r="S7" i="2"/>
  <c r="Z7" i="2"/>
  <c r="AH7" i="2"/>
  <c r="S39" i="2"/>
  <c r="Z39" i="2"/>
  <c r="AH39" i="2"/>
  <c r="S126" i="2"/>
  <c r="Z126" i="2"/>
  <c r="AH126" i="2"/>
  <c r="S82" i="2"/>
  <c r="Z82" i="2"/>
  <c r="AH82" i="2"/>
  <c r="S179" i="2"/>
  <c r="Z179" i="2"/>
  <c r="AH179" i="2"/>
  <c r="S96" i="2"/>
  <c r="Z96" i="2"/>
  <c r="AH96" i="2"/>
  <c r="Z5" i="2"/>
  <c r="AH5" i="2"/>
  <c r="S5" i="2"/>
  <c r="S86" i="2"/>
  <c r="Z86" i="2"/>
  <c r="AH86" i="2"/>
  <c r="S160" i="2"/>
  <c r="Z160" i="2"/>
  <c r="AH160" i="2"/>
  <c r="S117" i="2"/>
  <c r="Z117" i="2"/>
  <c r="AH117" i="2"/>
  <c r="S116" i="2"/>
  <c r="Z116" i="2"/>
  <c r="AH116" i="2"/>
  <c r="S55" i="2"/>
  <c r="Z55" i="2"/>
  <c r="AH55" i="2"/>
  <c r="S81" i="2"/>
  <c r="Z81" i="2"/>
  <c r="AH81" i="2"/>
  <c r="L200" i="2" l="1"/>
  <c r="Z200" i="2" s="1"/>
  <c r="T59" i="2"/>
  <c r="U59" i="2"/>
  <c r="V59" i="2"/>
  <c r="Y59" i="2"/>
  <c r="AA59" i="2"/>
  <c r="AB59" i="2" s="1"/>
  <c r="T197" i="2"/>
  <c r="U197" i="2"/>
  <c r="V197" i="2"/>
  <c r="Y197" i="2"/>
  <c r="AA197" i="2"/>
  <c r="AB197" i="2" s="1"/>
  <c r="Y139" i="2"/>
  <c r="AA139" i="2"/>
  <c r="AB139" i="2" s="1"/>
  <c r="T51" i="2"/>
  <c r="U51" i="2"/>
  <c r="V51" i="2"/>
  <c r="Y51" i="2"/>
  <c r="AA51" i="2"/>
  <c r="AB51" i="2" s="1"/>
  <c r="T139" i="2"/>
  <c r="V139" i="2"/>
  <c r="U139" i="2"/>
  <c r="T29" i="2"/>
  <c r="U29" i="2"/>
  <c r="V29" i="2"/>
  <c r="Y29" i="2"/>
  <c r="AA29" i="2"/>
  <c r="AB29" i="2" s="1"/>
  <c r="T63" i="2"/>
  <c r="U63" i="2"/>
  <c r="Y6" i="2"/>
  <c r="T6" i="2"/>
  <c r="V6" i="2"/>
  <c r="U6" i="2"/>
  <c r="AA6" i="2"/>
  <c r="AB6" i="2" s="1"/>
  <c r="Z9" i="2"/>
  <c r="AH9" i="2"/>
  <c r="S9" i="2"/>
  <c r="AH119" i="2"/>
  <c r="Z119" i="2"/>
  <c r="S119" i="2"/>
  <c r="Y166" i="2"/>
  <c r="U166" i="2"/>
  <c r="V166" i="2"/>
  <c r="T166" i="2"/>
  <c r="AA166" i="2"/>
  <c r="AB166" i="2" s="1"/>
  <c r="V73" i="2"/>
  <c r="Y73" i="2"/>
  <c r="AA73" i="2"/>
  <c r="AB73" i="2" s="1"/>
  <c r="T73" i="2"/>
  <c r="U73" i="2"/>
  <c r="T130" i="2"/>
  <c r="U130" i="2"/>
  <c r="V130" i="2"/>
  <c r="Y130" i="2"/>
  <c r="AA130" i="2"/>
  <c r="AB130" i="2" s="1"/>
  <c r="T177" i="2"/>
  <c r="U177" i="2"/>
  <c r="V177" i="2"/>
  <c r="AA177" i="2"/>
  <c r="AB177" i="2" s="1"/>
  <c r="Y177" i="2"/>
  <c r="V48" i="2"/>
  <c r="Y48" i="2"/>
  <c r="AA48" i="2"/>
  <c r="AB48" i="2" s="1"/>
  <c r="T48" i="2"/>
  <c r="U48" i="2"/>
  <c r="AA63" i="2"/>
  <c r="AB63" i="2" s="1"/>
  <c r="Y63" i="2"/>
  <c r="V63" i="2"/>
  <c r="AA153" i="2"/>
  <c r="AB153" i="2" s="1"/>
  <c r="Y153" i="2"/>
  <c r="V153" i="2"/>
  <c r="T153" i="2"/>
  <c r="U153" i="2"/>
  <c r="T123" i="2"/>
  <c r="AA123" i="2"/>
  <c r="AB123" i="2" s="1"/>
  <c r="Y123" i="2"/>
  <c r="V123" i="2"/>
  <c r="U123" i="2"/>
  <c r="T193" i="2"/>
  <c r="U193" i="2"/>
  <c r="V193" i="2"/>
  <c r="Y193" i="2"/>
  <c r="AA193" i="2"/>
  <c r="AB193" i="2" s="1"/>
  <c r="T80" i="2"/>
  <c r="U80" i="2"/>
  <c r="V80" i="2"/>
  <c r="Y80" i="2"/>
  <c r="AA80" i="2"/>
  <c r="AB80" i="2" s="1"/>
  <c r="Y11" i="2"/>
  <c r="AA11" i="2"/>
  <c r="AB11" i="2" s="1"/>
  <c r="T11" i="2"/>
  <c r="U11" i="2"/>
  <c r="V11" i="2"/>
  <c r="T38" i="2"/>
  <c r="U38" i="2"/>
  <c r="V38" i="2"/>
  <c r="Y38" i="2"/>
  <c r="AA38" i="2"/>
  <c r="AB38" i="2" s="1"/>
  <c r="G20" i="1"/>
  <c r="T35" i="2"/>
  <c r="U35" i="2"/>
  <c r="V35" i="2"/>
  <c r="Y35" i="2"/>
  <c r="AA35" i="2"/>
  <c r="AB35" i="2" s="1"/>
  <c r="T168" i="2"/>
  <c r="U168" i="2"/>
  <c r="V168" i="2"/>
  <c r="Y168" i="2"/>
  <c r="AA168" i="2"/>
  <c r="AB168" i="2" s="1"/>
  <c r="T31" i="2"/>
  <c r="U31" i="2"/>
  <c r="V31" i="2"/>
  <c r="Y31" i="2"/>
  <c r="AA31" i="2"/>
  <c r="AB31" i="2" s="1"/>
  <c r="T146" i="2"/>
  <c r="U146" i="2"/>
  <c r="V146" i="2"/>
  <c r="Y146" i="2"/>
  <c r="AA146" i="2"/>
  <c r="AB146" i="2" s="1"/>
  <c r="T198" i="2"/>
  <c r="U198" i="2"/>
  <c r="V198" i="2"/>
  <c r="Y198" i="2"/>
  <c r="AA198" i="2"/>
  <c r="AB198" i="2" s="1"/>
  <c r="Y102" i="2"/>
  <c r="U102" i="2"/>
  <c r="AA102" i="2"/>
  <c r="AB102" i="2" s="1"/>
  <c r="V102" i="2"/>
  <c r="T102" i="2"/>
  <c r="T173" i="2"/>
  <c r="U173" i="2"/>
  <c r="V173" i="2"/>
  <c r="AA173" i="2"/>
  <c r="AB173" i="2" s="1"/>
  <c r="Y173" i="2"/>
  <c r="AA77" i="2"/>
  <c r="AB77" i="2" s="1"/>
  <c r="T77" i="2"/>
  <c r="Y77" i="2"/>
  <c r="V77" i="2"/>
  <c r="U77" i="2"/>
  <c r="T176" i="2"/>
  <c r="Y176" i="2"/>
  <c r="AA176" i="2"/>
  <c r="AB176" i="2" s="1"/>
  <c r="V176" i="2"/>
  <c r="U176" i="2"/>
  <c r="V8" i="2"/>
  <c r="Y8" i="2"/>
  <c r="U8" i="2"/>
  <c r="AA8" i="2"/>
  <c r="AB8" i="2" s="1"/>
  <c r="T8" i="2"/>
  <c r="U106" i="2"/>
  <c r="V106" i="2"/>
  <c r="Y106" i="2"/>
  <c r="AA106" i="2"/>
  <c r="AB106" i="2" s="1"/>
  <c r="T106" i="2"/>
  <c r="AA83" i="2"/>
  <c r="AB83" i="2" s="1"/>
  <c r="U83" i="2"/>
  <c r="T83" i="2"/>
  <c r="V83" i="2"/>
  <c r="Y83" i="2"/>
  <c r="U23" i="2"/>
  <c r="Y23" i="2"/>
  <c r="V23" i="2"/>
  <c r="AA23" i="2"/>
  <c r="AB23" i="2" s="1"/>
  <c r="T23" i="2"/>
  <c r="Y27" i="2"/>
  <c r="AA27" i="2"/>
  <c r="AB27" i="2" s="1"/>
  <c r="V27" i="2"/>
  <c r="U27" i="2"/>
  <c r="T27" i="2"/>
  <c r="U162" i="2"/>
  <c r="V162" i="2"/>
  <c r="Y162" i="2"/>
  <c r="AA162" i="2"/>
  <c r="AB162" i="2" s="1"/>
  <c r="T162" i="2"/>
  <c r="Y62" i="2"/>
  <c r="U62" i="2"/>
  <c r="V62" i="2"/>
  <c r="T62" i="2"/>
  <c r="AA62" i="2"/>
  <c r="AB62" i="2" s="1"/>
  <c r="T98" i="2"/>
  <c r="Y98" i="2"/>
  <c r="U98" i="2"/>
  <c r="V98" i="2"/>
  <c r="AA98" i="2"/>
  <c r="AB98" i="2" s="1"/>
  <c r="V93" i="2"/>
  <c r="AA93" i="2"/>
  <c r="AB93" i="2" s="1"/>
  <c r="Y93" i="2"/>
  <c r="U93" i="2"/>
  <c r="T93" i="2"/>
  <c r="T140" i="2"/>
  <c r="AA140" i="2"/>
  <c r="AB140" i="2" s="1"/>
  <c r="Y140" i="2"/>
  <c r="V140" i="2"/>
  <c r="U140" i="2"/>
  <c r="AA109" i="2"/>
  <c r="AB109" i="2" s="1"/>
  <c r="V109" i="2"/>
  <c r="U109" i="2"/>
  <c r="T109" i="2"/>
  <c r="Y109" i="2"/>
  <c r="V180" i="2"/>
  <c r="T180" i="2"/>
  <c r="AA180" i="2"/>
  <c r="AB180" i="2" s="1"/>
  <c r="U180" i="2"/>
  <c r="Y180" i="2"/>
  <c r="T181" i="2"/>
  <c r="V181" i="2"/>
  <c r="Y181" i="2"/>
  <c r="AA181" i="2"/>
  <c r="AB181" i="2" s="1"/>
  <c r="U181" i="2"/>
  <c r="T33" i="2"/>
  <c r="U33" i="2"/>
  <c r="V33" i="2"/>
  <c r="Y33" i="2"/>
  <c r="AA33" i="2"/>
  <c r="AB33" i="2" s="1"/>
  <c r="V188" i="2"/>
  <c r="AA188" i="2"/>
  <c r="AB188" i="2" s="1"/>
  <c r="Y188" i="2"/>
  <c r="U188" i="2"/>
  <c r="T188" i="2"/>
  <c r="U158" i="2"/>
  <c r="Y158" i="2"/>
  <c r="AA158" i="2"/>
  <c r="AB158" i="2" s="1"/>
  <c r="T158" i="2"/>
  <c r="V158" i="2"/>
  <c r="V67" i="2"/>
  <c r="T67" i="2"/>
  <c r="Y67" i="2"/>
  <c r="AA67" i="2"/>
  <c r="AB67" i="2" s="1"/>
  <c r="U67" i="2"/>
  <c r="T133" i="2"/>
  <c r="V133" i="2"/>
  <c r="AA133" i="2"/>
  <c r="AB133" i="2" s="1"/>
  <c r="Y133" i="2"/>
  <c r="U133" i="2"/>
  <c r="T149" i="2"/>
  <c r="Y149" i="2"/>
  <c r="AA149" i="2"/>
  <c r="AB149" i="2" s="1"/>
  <c r="U149" i="2"/>
  <c r="V149" i="2"/>
  <c r="AA66" i="2"/>
  <c r="AB66" i="2" s="1"/>
  <c r="Y66" i="2"/>
  <c r="V66" i="2"/>
  <c r="U66" i="2"/>
  <c r="T66" i="2"/>
  <c r="AA135" i="2"/>
  <c r="AB135" i="2" s="1"/>
  <c r="Y135" i="2"/>
  <c r="V135" i="2"/>
  <c r="U135" i="2"/>
  <c r="T135" i="2"/>
  <c r="Y68" i="2"/>
  <c r="T68" i="2"/>
  <c r="AA68" i="2"/>
  <c r="AB68" i="2" s="1"/>
  <c r="U68" i="2"/>
  <c r="V68" i="2"/>
  <c r="U132" i="2"/>
  <c r="Y132" i="2"/>
  <c r="AA132" i="2"/>
  <c r="AB132" i="2" s="1"/>
  <c r="T132" i="2"/>
  <c r="V132" i="2"/>
  <c r="T47" i="2"/>
  <c r="U47" i="2"/>
  <c r="V47" i="2"/>
  <c r="Y47" i="2"/>
  <c r="AA47" i="2"/>
  <c r="AB47" i="2" s="1"/>
  <c r="AA21" i="2"/>
  <c r="AB21" i="2" s="1"/>
  <c r="V21" i="2"/>
  <c r="U21" i="2"/>
  <c r="T21" i="2"/>
  <c r="Y21" i="2"/>
  <c r="U155" i="2"/>
  <c r="V155" i="2"/>
  <c r="T155" i="2"/>
  <c r="Y155" i="2"/>
  <c r="AA155" i="2"/>
  <c r="AB155" i="2" s="1"/>
  <c r="T105" i="2"/>
  <c r="U105" i="2"/>
  <c r="V105" i="2"/>
  <c r="Y105" i="2"/>
  <c r="AA105" i="2"/>
  <c r="AB105" i="2" s="1"/>
  <c r="AA103" i="2"/>
  <c r="AB103" i="2" s="1"/>
  <c r="T103" i="2"/>
  <c r="U103" i="2"/>
  <c r="V103" i="2"/>
  <c r="Y103" i="2"/>
  <c r="V30" i="2"/>
  <c r="AA30" i="2"/>
  <c r="AB30" i="2" s="1"/>
  <c r="Y30" i="2"/>
  <c r="T30" i="2"/>
  <c r="U30" i="2"/>
  <c r="AA120" i="2"/>
  <c r="AB120" i="2" s="1"/>
  <c r="Y120" i="2"/>
  <c r="U120" i="2"/>
  <c r="T120" i="2"/>
  <c r="V120" i="2"/>
  <c r="AA97" i="2"/>
  <c r="AB97" i="2" s="1"/>
  <c r="Y97" i="2"/>
  <c r="U97" i="2"/>
  <c r="T97" i="2"/>
  <c r="V97" i="2"/>
  <c r="AA99" i="2"/>
  <c r="AB99" i="2" s="1"/>
  <c r="Y99" i="2"/>
  <c r="V99" i="2"/>
  <c r="U99" i="2"/>
  <c r="T99" i="2"/>
  <c r="T125" i="2"/>
  <c r="U125" i="2"/>
  <c r="V125" i="2"/>
  <c r="Y125" i="2"/>
  <c r="AA125" i="2"/>
  <c r="AB125" i="2" s="1"/>
  <c r="T15" i="2"/>
  <c r="U15" i="2"/>
  <c r="V15" i="2"/>
  <c r="Y15" i="2"/>
  <c r="AA15" i="2"/>
  <c r="AB15" i="2" s="1"/>
  <c r="T115" i="2"/>
  <c r="U115" i="2"/>
  <c r="V115" i="2"/>
  <c r="Y115" i="2"/>
  <c r="AA115" i="2"/>
  <c r="AB115" i="2" s="1"/>
  <c r="T61" i="2"/>
  <c r="U61" i="2"/>
  <c r="V61" i="2"/>
  <c r="AH165" i="2"/>
  <c r="S165" i="2"/>
  <c r="Z165" i="2"/>
  <c r="T41" i="2"/>
  <c r="V41" i="2"/>
  <c r="U41" i="2"/>
  <c r="Y41" i="2"/>
  <c r="AA41" i="2"/>
  <c r="AB41" i="2" s="1"/>
  <c r="AA56" i="2"/>
  <c r="AB56" i="2" s="1"/>
  <c r="V56" i="2"/>
  <c r="U56" i="2"/>
  <c r="T56" i="2"/>
  <c r="Y56" i="2"/>
  <c r="AA57" i="2"/>
  <c r="AB57" i="2" s="1"/>
  <c r="Y57" i="2"/>
  <c r="T57" i="2"/>
  <c r="U57" i="2"/>
  <c r="V57" i="2"/>
  <c r="T46" i="2"/>
  <c r="Y46" i="2"/>
  <c r="U46" i="2"/>
  <c r="AA46" i="2"/>
  <c r="AB46" i="2" s="1"/>
  <c r="V46" i="2"/>
  <c r="T17" i="2"/>
  <c r="U17" i="2"/>
  <c r="V17" i="2"/>
  <c r="Y17" i="2"/>
  <c r="AA17" i="2"/>
  <c r="AB17" i="2" s="1"/>
  <c r="AA114" i="2"/>
  <c r="AB114" i="2" s="1"/>
  <c r="Y114" i="2"/>
  <c r="V114" i="2"/>
  <c r="U114" i="2"/>
  <c r="T114" i="2"/>
  <c r="AA61" i="2"/>
  <c r="AB61" i="2" s="1"/>
  <c r="Y61" i="2"/>
  <c r="T60" i="2"/>
  <c r="V60" i="2"/>
  <c r="U60" i="2"/>
  <c r="Y60" i="2"/>
  <c r="AA60" i="2"/>
  <c r="AB60" i="2" s="1"/>
  <c r="T100" i="2"/>
  <c r="V100" i="2"/>
  <c r="Y100" i="2"/>
  <c r="AA100" i="2"/>
  <c r="AB100" i="2" s="1"/>
  <c r="U100" i="2"/>
  <c r="AA18" i="2"/>
  <c r="AB18" i="2" s="1"/>
  <c r="T18" i="2"/>
  <c r="V18" i="2"/>
  <c r="Y18" i="2"/>
  <c r="U18" i="2"/>
  <c r="AA190" i="2"/>
  <c r="AB190" i="2" s="1"/>
  <c r="V190" i="2"/>
  <c r="T190" i="2"/>
  <c r="U190" i="2"/>
  <c r="Y190" i="2"/>
  <c r="T12" i="2"/>
  <c r="U12" i="2"/>
  <c r="V12" i="2"/>
  <c r="Y12" i="2"/>
  <c r="AA12" i="2"/>
  <c r="AB12" i="2" s="1"/>
  <c r="T10" i="2"/>
  <c r="U10" i="2"/>
  <c r="V10" i="2"/>
  <c r="AA10" i="2"/>
  <c r="AB10" i="2" s="1"/>
  <c r="Y10" i="2"/>
  <c r="T90" i="2"/>
  <c r="U90" i="2"/>
  <c r="AA90" i="2"/>
  <c r="AB90" i="2" s="1"/>
  <c r="V90" i="2"/>
  <c r="Y90" i="2"/>
  <c r="AA22" i="2"/>
  <c r="AB22" i="2" s="1"/>
  <c r="Y22" i="2"/>
  <c r="V22" i="2"/>
  <c r="U22" i="2"/>
  <c r="T22" i="2"/>
  <c r="Y107" i="2"/>
  <c r="AA107" i="2"/>
  <c r="AB107" i="2" s="1"/>
  <c r="V107" i="2"/>
  <c r="T107" i="2"/>
  <c r="U107" i="2"/>
  <c r="Y72" i="2"/>
  <c r="AA72" i="2"/>
  <c r="AB72" i="2" s="1"/>
  <c r="T72" i="2"/>
  <c r="U72" i="2"/>
  <c r="V72" i="2"/>
  <c r="Y192" i="2"/>
  <c r="U192" i="2"/>
  <c r="T192" i="2"/>
  <c r="AA192" i="2"/>
  <c r="AB192" i="2" s="1"/>
  <c r="V192" i="2"/>
  <c r="Y183" i="2"/>
  <c r="AA183" i="2"/>
  <c r="AB183" i="2" s="1"/>
  <c r="T183" i="2"/>
  <c r="U183" i="2"/>
  <c r="V183" i="2"/>
  <c r="T50" i="2"/>
  <c r="AA50" i="2"/>
  <c r="AB50" i="2" s="1"/>
  <c r="Y50" i="2"/>
  <c r="U50" i="2"/>
  <c r="V50" i="2"/>
  <c r="D17" i="1"/>
  <c r="D20" i="1"/>
  <c r="D19" i="1"/>
  <c r="D21" i="1"/>
  <c r="D18" i="1"/>
  <c r="T159" i="2"/>
  <c r="U159" i="2"/>
  <c r="V159" i="2"/>
  <c r="Y159" i="2"/>
  <c r="AA159" i="2"/>
  <c r="AB159" i="2" s="1"/>
  <c r="T178" i="2"/>
  <c r="U178" i="2"/>
  <c r="V178" i="2"/>
  <c r="Y178" i="2"/>
  <c r="AA178" i="2"/>
  <c r="AB178" i="2" s="1"/>
  <c r="T74" i="2"/>
  <c r="U74" i="2"/>
  <c r="V74" i="2"/>
  <c r="Y74" i="2"/>
  <c r="AA74" i="2"/>
  <c r="AB74" i="2" s="1"/>
  <c r="T185" i="2"/>
  <c r="U185" i="2"/>
  <c r="V185" i="2"/>
  <c r="Y185" i="2"/>
  <c r="AA185" i="2"/>
  <c r="AB185" i="2" s="1"/>
  <c r="T137" i="2"/>
  <c r="U137" i="2"/>
  <c r="V137" i="2"/>
  <c r="Y137" i="2"/>
  <c r="AA137" i="2"/>
  <c r="AB137" i="2" s="1"/>
  <c r="T14" i="2"/>
  <c r="U14" i="2"/>
  <c r="V14" i="2"/>
  <c r="Y14" i="2"/>
  <c r="AA14" i="2"/>
  <c r="AB14" i="2" s="1"/>
  <c r="T28" i="2"/>
  <c r="U28" i="2"/>
  <c r="V28" i="2"/>
  <c r="Y28" i="2"/>
  <c r="AA28" i="2"/>
  <c r="AB28" i="2" s="1"/>
  <c r="T24" i="2"/>
  <c r="U24" i="2"/>
  <c r="V24" i="2"/>
  <c r="Y24" i="2"/>
  <c r="AA24" i="2"/>
  <c r="AB24" i="2" s="1"/>
  <c r="T7" i="2"/>
  <c r="U7" i="2"/>
  <c r="V7" i="2"/>
  <c r="Y7" i="2"/>
  <c r="AA7" i="2"/>
  <c r="AB7" i="2" s="1"/>
  <c r="T39" i="2"/>
  <c r="U39" i="2"/>
  <c r="V39" i="2"/>
  <c r="Y39" i="2"/>
  <c r="AA39" i="2"/>
  <c r="AB39" i="2" s="1"/>
  <c r="T126" i="2"/>
  <c r="U126" i="2"/>
  <c r="V126" i="2"/>
  <c r="Y126" i="2"/>
  <c r="AA126" i="2"/>
  <c r="AB126" i="2" s="1"/>
  <c r="T82" i="2"/>
  <c r="U82" i="2"/>
  <c r="V82" i="2"/>
  <c r="Y82" i="2"/>
  <c r="AA82" i="2"/>
  <c r="AB82" i="2" s="1"/>
  <c r="T179" i="2"/>
  <c r="U179" i="2"/>
  <c r="V179" i="2"/>
  <c r="Y179" i="2"/>
  <c r="AA179" i="2"/>
  <c r="AB179" i="2" s="1"/>
  <c r="T96" i="2"/>
  <c r="U96" i="2"/>
  <c r="V96" i="2"/>
  <c r="Y96" i="2"/>
  <c r="AA96" i="2"/>
  <c r="AB96" i="2" s="1"/>
  <c r="Y5" i="2"/>
  <c r="T5" i="2"/>
  <c r="U5" i="2"/>
  <c r="V5" i="2"/>
  <c r="AA5" i="2"/>
  <c r="T86" i="2"/>
  <c r="U86" i="2"/>
  <c r="V86" i="2"/>
  <c r="Y86" i="2"/>
  <c r="AA86" i="2"/>
  <c r="AB86" i="2" s="1"/>
  <c r="T160" i="2"/>
  <c r="U160" i="2"/>
  <c r="V160" i="2"/>
  <c r="Y160" i="2"/>
  <c r="AA160" i="2"/>
  <c r="AB160" i="2" s="1"/>
  <c r="T117" i="2"/>
  <c r="U117" i="2"/>
  <c r="V117" i="2"/>
  <c r="Y117" i="2"/>
  <c r="AA117" i="2"/>
  <c r="AB117" i="2" s="1"/>
  <c r="T116" i="2"/>
  <c r="U116" i="2"/>
  <c r="V116" i="2"/>
  <c r="Y116" i="2"/>
  <c r="AA116" i="2"/>
  <c r="AB116" i="2" s="1"/>
  <c r="T55" i="2"/>
  <c r="U55" i="2"/>
  <c r="V55" i="2"/>
  <c r="Y55" i="2"/>
  <c r="AA55" i="2"/>
  <c r="AB55" i="2" s="1"/>
  <c r="T81" i="2"/>
  <c r="U81" i="2"/>
  <c r="V81" i="2"/>
  <c r="Y81" i="2"/>
  <c r="AA81" i="2"/>
  <c r="AB81" i="2" s="1"/>
  <c r="G21" i="1"/>
  <c r="G17" i="1" l="1"/>
  <c r="F17" i="1" s="1"/>
  <c r="U9" i="2"/>
  <c r="AA9" i="2"/>
  <c r="AB9" i="2" s="1"/>
  <c r="V9" i="2"/>
  <c r="T9" i="2"/>
  <c r="Y9" i="2"/>
  <c r="V119" i="2"/>
  <c r="T119" i="2"/>
  <c r="Y119" i="2"/>
  <c r="AA119" i="2"/>
  <c r="AB119" i="2" s="1"/>
  <c r="U119" i="2"/>
  <c r="AH200" i="2"/>
  <c r="B12" i="1" s="1"/>
  <c r="B13" i="1" s="1"/>
  <c r="C12" i="1" s="1"/>
  <c r="S200" i="2"/>
  <c r="Y200" i="2" s="1"/>
  <c r="F20" i="1"/>
  <c r="AA165" i="2"/>
  <c r="U165" i="2"/>
  <c r="V165" i="2"/>
  <c r="T165" i="2"/>
  <c r="Y165" i="2"/>
  <c r="G18" i="1"/>
  <c r="G19" i="1"/>
  <c r="AB5" i="2"/>
  <c r="F21" i="1"/>
  <c r="C11" i="1" l="1"/>
  <c r="C10" i="1"/>
  <c r="C5" i="1"/>
  <c r="C7" i="1"/>
  <c r="C6" i="1"/>
  <c r="H20" i="1"/>
  <c r="C9" i="1"/>
  <c r="C8" i="1"/>
  <c r="C13" i="1"/>
  <c r="H17" i="1"/>
  <c r="H21" i="1"/>
  <c r="AB165" i="2"/>
  <c r="AA200" i="2"/>
  <c r="AB200" i="2"/>
  <c r="B32" i="1" s="1"/>
  <c r="H18" i="1"/>
  <c r="F18" i="1"/>
  <c r="F19" i="1"/>
  <c r="H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K4" authorId="0" shapeId="0" xr:uid="{00000000-0006-0000-0100-000001000000}">
      <text>
        <r>
          <rPr>
            <sz val="10"/>
            <rFont val="Arial"/>
            <family val="2"/>
          </rPr>
          <t>Bu sütunu siz doldurun: sac dışı satın alınacak kalemlerin ürün başı € maliyeti. Liste: Satınalma Kalemleri sayfası.</t>
        </r>
      </text>
    </comment>
  </commentList>
</comments>
</file>

<file path=xl/sharedStrings.xml><?xml version="1.0" encoding="utf-8"?>
<sst xmlns="http://schemas.openxmlformats.org/spreadsheetml/2006/main" count="13723" uniqueCount="2370">
  <si>
    <t>Kaynaklı ST52 Grubu – Genel Maliyet Özeti (sipariş bazında)</t>
  </si>
  <si>
    <t>Tüm değerler 'Maliyet Analizi' sayfasından formülle hesaplanır.</t>
  </si>
  <si>
    <t>Kalem</t>
  </si>
  <si>
    <t>Tutar (€)</t>
  </si>
  <si>
    <t>Pay</t>
  </si>
  <si>
    <t>Sac maliyeti (fire düşülmüş)</t>
  </si>
  <si>
    <t>Satınalma malzeme (Satınalma Parçaları)</t>
  </si>
  <si>
    <t>Malzeme toplamı</t>
  </si>
  <si>
    <t>Büküm işçiliği</t>
  </si>
  <si>
    <t>Puntalama işçiliği</t>
  </si>
  <si>
    <t>Kaynak işçiliği</t>
  </si>
  <si>
    <t>İşçilik toplamı</t>
  </si>
  <si>
    <t>Boya / kaplama</t>
  </si>
  <si>
    <t>GENEL TOPLAM</t>
  </si>
  <si>
    <t>Kırılımlar</t>
  </si>
  <si>
    <t>Grup</t>
  </si>
  <si>
    <t>Ürün sayısı</t>
  </si>
  <si>
    <t>Sipariş adedi</t>
  </si>
  <si>
    <t>Malzeme €</t>
  </si>
  <si>
    <t>İşçilik €</t>
  </si>
  <si>
    <t>Boya €</t>
  </si>
  <si>
    <t>Toplam €</t>
  </si>
  <si>
    <t>STEP modelinden</t>
  </si>
  <si>
    <t>Resimden tahmin</t>
  </si>
  <si>
    <t>Boya: Yaş boya</t>
  </si>
  <si>
    <t>Boya: Kataforez</t>
  </si>
  <si>
    <t>Boya: Yok</t>
  </si>
  <si>
    <t>Not: ilk iki satır (STEP / tahmin) ve son üç satır (boya yöntemi) ayrı ayrı toplama verir.</t>
  </si>
  <si>
    <t>Kontrol listesi</t>
  </si>
  <si>
    <t>Satınalma kalemi olup tutarı 0 olan ürün</t>
  </si>
  <si>
    <t>Satınalma kalemi olan ürün sayısı</t>
  </si>
  <si>
    <t>Kataforez fiyatı tahmini olan ürün (teklif yok)</t>
  </si>
  <si>
    <t>Toplam iş saati (sipariş, h)</t>
  </si>
  <si>
    <t>Toplam brüt sac (kg, sipariş)</t>
  </si>
  <si>
    <t>Toplam hurda (kg, sipariş)</t>
  </si>
  <si>
    <t>Fiyatı girilmemiş satınalma kalemi (Satınalma Parçaları, 'Evet' olanlar)</t>
  </si>
  <si>
    <t>Satış bedeli toplamı (€, Maliyet Analizi AB)</t>
  </si>
  <si>
    <t>Kaynaklı ST52 Grubu – Özet Maliyet Analizi</t>
  </si>
  <si>
    <t>195 ürün · işçilik: "İşçilik Özet" · sac: "Sac Özet" (31.10.2026 güncellemeleri dahil) · satınalma: Satınalma Parçaları · boya: Yaş Boya Listesi (80 €/araba) ve Kataforez Teklifleri · tüm kaynaklar bu dosyada, birleştirme 31.10.2026</t>
  </si>
  <si>
    <t>ÜRÜN</t>
  </si>
  <si>
    <t>MALZEME (€ / ürün)</t>
  </si>
  <si>
    <t>İŞÇİLİK (€ / ürün)</t>
  </si>
  <si>
    <t>BOYA / KAPLAMA</t>
  </si>
  <si>
    <t>TOPLAM</t>
  </si>
  <si>
    <t>KG MALİYETİ (€ / kg)</t>
  </si>
  <si>
    <t>SATIŞ</t>
  </si>
  <si>
    <t>BİLGİ</t>
  </si>
  <si>
    <t>SÜRE VERİSİ (ch / ürün)</t>
  </si>
  <si>
    <t>SİPARİŞ</t>
  </si>
  <si>
    <t>Kod</t>
  </si>
  <si>
    <t>Ürün</t>
  </si>
  <si>
    <t>Rev.</t>
  </si>
  <si>
    <t>Veri kaynağı</t>
  </si>
  <si>
    <t>Boya yöntemi</t>
  </si>
  <si>
    <t>Adet (sipariş)</t>
  </si>
  <si>
    <t>Birim ağırlık (kg)</t>
  </si>
  <si>
    <t>Brüt sac (kg)</t>
  </si>
  <si>
    <t>Fire / hurda (kg)</t>
  </si>
  <si>
    <t>Sac maliyeti</t>
  </si>
  <si>
    <t>Satınalma malzeme</t>
  </si>
  <si>
    <t>Malzeme toplam</t>
  </si>
  <si>
    <t>Büküm</t>
  </si>
  <si>
    <t>Puntalama</t>
  </si>
  <si>
    <t>Kaynak</t>
  </si>
  <si>
    <t>İşçilik toplam</t>
  </si>
  <si>
    <t>Boya değeri (€/parça ya da parça/araba)</t>
  </si>
  <si>
    <t>Boya €/ürün</t>
  </si>
  <si>
    <t>Birim maliyet (€/ürün)</t>
  </si>
  <si>
    <t>Malzeme payı</t>
  </si>
  <si>
    <t>İşçilik payı</t>
  </si>
  <si>
    <t>Boya payı</t>
  </si>
  <si>
    <t>İş saati (sipariş, h)</t>
  </si>
  <si>
    <t>Sac maliyeti (€/kg)</t>
  </si>
  <si>
    <t>Birim maliyet (€/kg)</t>
  </si>
  <si>
    <t>Malzeme toplam (€/kg)</t>
  </si>
  <si>
    <t>Satış fiyatı (€/ürün)</t>
  </si>
  <si>
    <t>Toplam satış bedeli (€)</t>
  </si>
  <si>
    <t>Satınalma kalemleri (sac dışı)</t>
  </si>
  <si>
    <t>Not</t>
  </si>
  <si>
    <t>Büküm ch</t>
  </si>
  <si>
    <t>Punta ch</t>
  </si>
  <si>
    <t>Kaynak ch</t>
  </si>
  <si>
    <t>Sipariş toplamı (€)</t>
  </si>
  <si>
    <t>Izgara 1202X839 (Yeni Switch)</t>
  </si>
  <si>
    <t>B</t>
  </si>
  <si>
    <t>STEP</t>
  </si>
  <si>
    <t>Yaş boya</t>
  </si>
  <si>
    <t>1343554 Ø30 MIL TRANSMISYON L:1243mm ×1; 655949 Ø30 MIL TRANSMISYON L:1172mm ×1; 1057048 Tutamak ×2; H300.00067 ARMUT TAKOZ ×2; 655833 Ara boru Ø38×Ø30,8 L50 ×40; H900.00013 DIN125 M8 Rondela ×2; H900.00014 DIN985 M8 Somun ×2; H900.00064 DIN125 M10 Rondela ×8; H900.00069 DIN985 M10 Somun ×4; H900.00024 DIN933 M10x25 8.8 Civata ×4; 655972 DIN935 M30x3.5 ×4; H411.00015 DIN94 5x80 GUPILYA ×4</t>
  </si>
  <si>
    <t>12 satınalma kalemi</t>
  </si>
  <si>
    <t>Tampon Basamağı</t>
  </si>
  <si>
    <t>B.4</t>
  </si>
  <si>
    <t>STEP yok – resimden tahmin</t>
  </si>
  <si>
    <t>Bisikletlik Şase Bağlantı Profili (60010086)</t>
  </si>
  <si>
    <t>A.7</t>
  </si>
  <si>
    <t>Kataforez</t>
  </si>
  <si>
    <t>117806 Kutu Profil: 40x40x4 ×1</t>
  </si>
  <si>
    <t>STEP yok – resimden tahmin · 1 satınalma kalemi</t>
  </si>
  <si>
    <t>0913348</t>
  </si>
  <si>
    <t>H40 Arka Bom Desteği</t>
  </si>
  <si>
    <t>A.2</t>
  </si>
  <si>
    <t>323753 DIN 929 M10 kaynak somunu ×8; H900.680347 DIN 929 M8 kaynak somunu ×3</t>
  </si>
  <si>
    <t>2 satınalma kalemi</t>
  </si>
  <si>
    <t>Pto Pompa Salıncağı</t>
  </si>
  <si>
    <t>A.19</t>
  </si>
  <si>
    <t>60MM Takozluk</t>
  </si>
  <si>
    <t>F</t>
  </si>
  <si>
    <t>Tampon Şasi Bağlantı 112574</t>
  </si>
  <si>
    <t>A.4</t>
  </si>
  <si>
    <t>60MM Takozluk Bağlantısı</t>
  </si>
  <si>
    <t>Su Tankı Sehpası Ayağı (H=60MM)</t>
  </si>
  <si>
    <t>A.10</t>
  </si>
  <si>
    <t>Takozluk Bağlantısı</t>
  </si>
  <si>
    <t>Tampon Bağlantı Sag</t>
  </si>
  <si>
    <t>A.9</t>
  </si>
  <si>
    <t>Tampon Bağlantı Sol</t>
  </si>
  <si>
    <t>Takozluk</t>
  </si>
  <si>
    <t>Civatalı Profil Tampon</t>
  </si>
  <si>
    <t>A.3</t>
  </si>
  <si>
    <t>Parmak Switch Koruma Sacı</t>
  </si>
  <si>
    <t>A.5</t>
  </si>
  <si>
    <t>Kataforez TAHMİNİ (yüksek senaryo, teklif yok): ağırlık × Parametreler B13 · STEP yok – resimden tahmin</t>
  </si>
  <si>
    <t>H37- H40 Arka Ayak Dayama</t>
  </si>
  <si>
    <t>110435 KUTU PROF L ; 60 X 60 X 4 L = 540 mm ×1</t>
  </si>
  <si>
    <t>Kelepçe 5,5" Ayaklı 2 Civatalı</t>
  </si>
  <si>
    <t>Yok</t>
  </si>
  <si>
    <t>H411.00040 KELEPÇE 5,5" 2 CİVATALI ×1</t>
  </si>
  <si>
    <t>0896250</t>
  </si>
  <si>
    <t>H43-H47 Arka Bom Destek</t>
  </si>
  <si>
    <t>Ortak Soğutucu Sehpa</t>
  </si>
  <si>
    <t>Hortum Sarma</t>
  </si>
  <si>
    <t>—</t>
  </si>
  <si>
    <t>121805 Ø16x2 BORU L=1326,5mm ×1; 121807 Ø16x2 BORU L=233mm ×6</t>
  </si>
  <si>
    <t>STEP yok – resimden tahmin · 2 satınalma kalemi</t>
  </si>
  <si>
    <t>Sag Kazan Basamagı Kaynak (Abd)</t>
  </si>
  <si>
    <t>475200 KUTU PROFİL : 60x40x5 L:700 mm ×1</t>
  </si>
  <si>
    <t>Şasi Bağlantılı Tampon</t>
  </si>
  <si>
    <t>H37-H40-H43-H47-H52 Ön Bom Destek Ayağı</t>
  </si>
  <si>
    <t>C.3</t>
  </si>
  <si>
    <t>Bom Destek</t>
  </si>
  <si>
    <t>A.1</t>
  </si>
  <si>
    <t>H37 - H40 Dişli Koruma Tutucu</t>
  </si>
  <si>
    <t>H58 Arka Bom Desteği</t>
  </si>
  <si>
    <t>D</t>
  </si>
  <si>
    <t>H900.00017 DIN934 M8 Somun ×4; H900.00030 SOMUN M10 BEYAZ DIN934 ×7</t>
  </si>
  <si>
    <t>H40 Yatay Hat Boru Orta Tutucu Ayarlı Kaynak 2</t>
  </si>
  <si>
    <t>543381 BORU Ø63,5X5MM L=501mm ×1; 543380 BORU Ø63,5X5MM L=296mm ×1</t>
  </si>
  <si>
    <t>Karıstırıcı Valf Sehpası</t>
  </si>
  <si>
    <t>Pano Sehpası Kaynak Montaj</t>
  </si>
  <si>
    <t>B.2</t>
  </si>
  <si>
    <t>7 Kollu Bom Valfi</t>
  </si>
  <si>
    <t>Ön Ayak Basma Tekeri Sol</t>
  </si>
  <si>
    <t>A.12</t>
  </si>
  <si>
    <t>Ön Ayak Basma Tekeri Sağ</t>
  </si>
  <si>
    <t>A.16</t>
  </si>
  <si>
    <t>160 M3 Su Kutusu Tapası</t>
  </si>
  <si>
    <t>Tekerlek Askısı</t>
  </si>
  <si>
    <t>A.8</t>
  </si>
  <si>
    <t>Zincir Koruma Kapağı</t>
  </si>
  <si>
    <t>H37-H40 Ön Bom Destek</t>
  </si>
  <si>
    <t>Boru Bağlantı Ara DESTEĞİ-1</t>
  </si>
  <si>
    <t>Konvertör Sehpası Arka Sacı</t>
  </si>
  <si>
    <t>H900.00267 SOMUN M12 DUZ BEYAZ DIN934 ×2</t>
  </si>
  <si>
    <t>Hidrolik Soğutucu Sehpası</t>
  </si>
  <si>
    <t>H43 - H47 Dişli Koruma Tutucu</t>
  </si>
  <si>
    <t>Aski Sag-sol Takoz</t>
  </si>
  <si>
    <t>232731 Aski Takozu ×1; 232735 Takoz Mili ×1</t>
  </si>
  <si>
    <t>H40 Kaide Boru Tutucu</t>
  </si>
  <si>
    <t>Abd G64 Ara Şanzıman Salıncağı Sağ Montaj</t>
  </si>
  <si>
    <t>Abd G64 Ara Şanzıman Salıncağı Sol Montaj</t>
  </si>
  <si>
    <t>H43-H47 Arka Ayak Kilidi Sol</t>
  </si>
  <si>
    <t>H411.00160 AYAK KILIDI YENİ TIP ×1</t>
  </si>
  <si>
    <t>H43-47 Arka Ayak Kilidi Sağ Montaj</t>
  </si>
  <si>
    <t>Merdiven Profil</t>
  </si>
  <si>
    <t>114246 TAMPON MERDİVEN PRO ×1</t>
  </si>
  <si>
    <t>H37-H40 Motor Koruma Sacı - Dış</t>
  </si>
  <si>
    <t>H47 Pedestal Kule Beton Hat Merkezleme Parçası</t>
  </si>
  <si>
    <t>Yatay Hat Boru Orta Tutucu Ayarlı Kaynak 1</t>
  </si>
  <si>
    <t>543392 BORU Ø63,5X5MM L=406mm ×1</t>
  </si>
  <si>
    <t>H37-H40 Motor Koruma - Sase Bağlantı 2</t>
  </si>
  <si>
    <t>0905890</t>
  </si>
  <si>
    <t>H51_5RZ Arka Bom Desteği</t>
  </si>
  <si>
    <t>323753 DIN929 M10 kaynak somunu ×4</t>
  </si>
  <si>
    <t>1 satınalma kalemi</t>
  </si>
  <si>
    <t>H58-7RRZ Bom Valf Sehpa Kaynak - 1</t>
  </si>
  <si>
    <t>323753 DIN 929 M10 Kaynak Somunu ×1; H900.00267 SOMUN M12 DUZ BEYAZ DIN934 ×2</t>
  </si>
  <si>
    <t>H43-H47 Ön Bom Destek</t>
  </si>
  <si>
    <t>H47 Pano Sehpası Altlığı</t>
  </si>
  <si>
    <t>Boru Bağlantı Ara DESTEĞİ-2</t>
  </si>
  <si>
    <t>Boru Bağlantı Ara DESTEĞİ-3</t>
  </si>
  <si>
    <t>Çıkrık Tabanca Taşıma Aparatı</t>
  </si>
  <si>
    <t>B.6</t>
  </si>
  <si>
    <t>0899901 ÇIKRIK APARAT BORU Ø63.5x5 L=100 mm ×1</t>
  </si>
  <si>
    <t>H37-H40 Motor Koruma - Sase Bağlantı 1</t>
  </si>
  <si>
    <t>Su Tankı Sehpası Ayağı (H=80mm)</t>
  </si>
  <si>
    <t>A.6</t>
  </si>
  <si>
    <t>H40 Yatay DESTEK-1</t>
  </si>
  <si>
    <t>Merdıven Basamak</t>
  </si>
  <si>
    <t>Konvertör Sehpası</t>
  </si>
  <si>
    <t>Ayarlı Yatay Hat Baglantısı Kaynak 2</t>
  </si>
  <si>
    <t>Şase Kulakları (Mack Terra Pro)</t>
  </si>
  <si>
    <t>Ayarlı Yatay Hat Baglantısı</t>
  </si>
  <si>
    <t>543419 Kutu Profil 40x40x4 L=110 mm ×1</t>
  </si>
  <si>
    <t>Plazma H47 Kaide 35 Derece Dirsek Tutucu</t>
  </si>
  <si>
    <t>H37-5 Arka Bom Desteği</t>
  </si>
  <si>
    <t>H900.00017 DIN934 M8 Somun ×3</t>
  </si>
  <si>
    <t>H40 Arka Bom Desteği Yatay Hat Tutucu</t>
  </si>
  <si>
    <t>H40 Merkezleme Kaynak 109023</t>
  </si>
  <si>
    <t>H58.6 Rrz Pedestal Kule Merkezleme</t>
  </si>
  <si>
    <t>H58-H52 Yatay Hat Pedestal Bağlantı Montaj</t>
  </si>
  <si>
    <t>H58 Yatay Hat U Bolt BAĞLATI-1</t>
  </si>
  <si>
    <t>H43-H47 Koruma Sacı - Dış</t>
  </si>
  <si>
    <t>5,5" Kelepçe</t>
  </si>
  <si>
    <t>Sutem Sehpası</t>
  </si>
  <si>
    <t>Su Tankı Sehpası Ayağı (H=120MM)</t>
  </si>
  <si>
    <t>Su Tankı Sehpası Ayağı (H=110MM)</t>
  </si>
  <si>
    <t>Pto 180 Hd Pompa Salıncağı</t>
  </si>
  <si>
    <t>B.7</t>
  </si>
  <si>
    <t>H58 4. Bom Destek Baglantısı</t>
  </si>
  <si>
    <t>147776 H58_4_BOM_DESTEK_BAGLANTI_PARCASI_4 ×1; 147779 H58_4_BOM_DESTEK_BAGLANTI_PARCASI_3 ×1</t>
  </si>
  <si>
    <t>H52-58 Elektrik Pano Sehpası</t>
  </si>
  <si>
    <t>H58 Yatay Hat U Bolt BAĞLATI-2</t>
  </si>
  <si>
    <t>H51 Bom Valfi Baglantı Parcası</t>
  </si>
  <si>
    <t>H58 Ön Bom Desteği</t>
  </si>
  <si>
    <t>H58 4.BOM Destek Pedestal</t>
  </si>
  <si>
    <t>H51 Pano Sehpası Altlıgı</t>
  </si>
  <si>
    <t>H58-7RZ 4.BOM Ön Destek</t>
  </si>
  <si>
    <t>H52 - H58 Motor Koruma Sacı</t>
  </si>
  <si>
    <t>H900_1424046 Parça ×4; H900.00013 Parça ×4</t>
  </si>
  <si>
    <t>H58-H52 Yatay Hat Bağlantı Kolu</t>
  </si>
  <si>
    <t>Yatay Boru Destek KAYNAK-3</t>
  </si>
  <si>
    <t>H52-58 Elektrik Pano Sacı</t>
  </si>
  <si>
    <t>H51 5.BOM Dayama Kaynaklı Montaj</t>
  </si>
  <si>
    <t>237124 H51 5.BOM DAYAMA BORUSU ×1</t>
  </si>
  <si>
    <t>H58-7RRZ Bom Valf Sehpa Kaynak - 2</t>
  </si>
  <si>
    <t>Arocs Ceki Sacı</t>
  </si>
  <si>
    <t>H51 Kaide Kelepçe Tutucu</t>
  </si>
  <si>
    <t>H58 Arka Ayak Kilidi Sağ Sol</t>
  </si>
  <si>
    <t>H411.00.00.00160 Ayak kilidi yeni tip (satın alma) ×1; 106922 Plastik takoz (hazır) ×1</t>
  </si>
  <si>
    <t>Tampon Çekiç Yeri</t>
  </si>
  <si>
    <t>0949720 Boru Ø63.5x5 L:71.5mm ×1</t>
  </si>
  <si>
    <t>H58 Bom Valf Sehpası</t>
  </si>
  <si>
    <t>1091740</t>
  </si>
  <si>
    <t>Ara Şanzıman Salıncağı Sol Montaj</t>
  </si>
  <si>
    <t>A.11</t>
  </si>
  <si>
    <t>Ara Şanzıman Salıncağı Sağ Montaj</t>
  </si>
  <si>
    <t>Kazan Üst Davlumbaz</t>
  </si>
  <si>
    <t>A.32</t>
  </si>
  <si>
    <t>228112 Kazan Yaglama Takozu ×1</t>
  </si>
  <si>
    <t>Yatay Boru Destek KAYNAK-2</t>
  </si>
  <si>
    <t>Yatay Boru Destek KAYNAK-1</t>
  </si>
  <si>
    <t>H51.16 Abd Su Kutusu Askısı</t>
  </si>
  <si>
    <t>A</t>
  </si>
  <si>
    <t>232731_AF1 H51-ABD-SAĞ SOL TAKOZ KANAL İŞLEMİ bileşeni ×2; 1056824_AF1 H51-ABD-SAĞ SOL TAKOZ KANAL İŞLEMİ bileşeni ×2</t>
  </si>
  <si>
    <t>1162215</t>
  </si>
  <si>
    <t>H51 Yatay Destek</t>
  </si>
  <si>
    <t>B.3</t>
  </si>
  <si>
    <t>H37-2.BOM Dayama</t>
  </si>
  <si>
    <t>115468 H37-2.BOM DAYAMA PARÇASI BORU ×2; H900.00267 SOMUN M12 DUZ BEYAZ DIN934 ×2</t>
  </si>
  <si>
    <t>H68 Su Terazısı Buton Sacı Sol</t>
  </si>
  <si>
    <t>H68 Su Terazısı Buton Sacı Sag</t>
  </si>
  <si>
    <t>H58 4.BOM Destek Dayama</t>
  </si>
  <si>
    <t>147777 H58_4_BOM_DESTEK_DAYAMA_PARCASI_2 ×1</t>
  </si>
  <si>
    <t>H37-5 Z 2.BOM Dayama</t>
  </si>
  <si>
    <t>108757 Boru :Ø63,5x4 L:94mm ×2</t>
  </si>
  <si>
    <t>H37-5 5.BOM Dayama</t>
  </si>
  <si>
    <t>108821 SAC ×1</t>
  </si>
  <si>
    <t>Su Tapası Demiri</t>
  </si>
  <si>
    <t>109917 SU TAPASI DEMİRİ TAKOZ ×1</t>
  </si>
  <si>
    <t>Orta Askı</t>
  </si>
  <si>
    <t>H51 Sanzıman Koruma - Sase BAG-2</t>
  </si>
  <si>
    <t>BH-65 H40 Su Kutusu Askı Sacı</t>
  </si>
  <si>
    <t>232731_AF0 Aski Sag-Sol Takoz Kaynak Kanalli bileşeni ×2; 232735_AF0 Aski Sag-Sol Takoz Kaynak Kanalli bileşeni ×2</t>
  </si>
  <si>
    <t>H68 Arka Bom Desteği</t>
  </si>
  <si>
    <t>H900.00030 SOMUN M10 BEYAZ DIN934 ×4</t>
  </si>
  <si>
    <t>H58 5. Bom Oturma Sehpası</t>
  </si>
  <si>
    <t>H51 Sanzıman Koruma - Dış</t>
  </si>
  <si>
    <t>Yatay Boru Destek KAYNAK-4</t>
  </si>
  <si>
    <t>235229 D AGONEL BORU Ø63,5X5MM L=678.2mm ×1; H411.00013 KELEPÇE TOPUZU Ø60 DÖKÜM ×1</t>
  </si>
  <si>
    <t>H37 H40 Yatay Hat Boru Tutucu</t>
  </si>
  <si>
    <t>H40-H37 Arka Ayak Kilidi Sol Montaj</t>
  </si>
  <si>
    <t>H411.00.00.00160 Ayak kilidi yeni tip (satın alma) ×1</t>
  </si>
  <si>
    <t>H37-H40 Arka Ayak Kilit Sağ</t>
  </si>
  <si>
    <t>H51 Sanzıman Koruma - Sase BAG-1</t>
  </si>
  <si>
    <t>H52_6RZ Kaide Boru Tutucu</t>
  </si>
  <si>
    <t>Tava Baglantı 2</t>
  </si>
  <si>
    <t>379860 Kutu Profil 40x60x4 L=700 ×1</t>
  </si>
  <si>
    <t>Ara Travers</t>
  </si>
  <si>
    <t>Kazan-tampon Bağlantı Sol</t>
  </si>
  <si>
    <t>Kazan-tampon Bağlantı Sağ</t>
  </si>
  <si>
    <t>4" Kelepçe Ayaklı</t>
  </si>
  <si>
    <t>H411_03_00_00356 SIKMALI KELEPÇE H26 (S2030002) ×1</t>
  </si>
  <si>
    <t>Hortum Sarma Dar</t>
  </si>
  <si>
    <t>241380 Ø16x2 BORU L=1126,5mm ×1; 121807 HORTUM SARMA BORU-2 ×4</t>
  </si>
  <si>
    <t>H32-4 Kazan Grubu Bağlantı Braketı</t>
  </si>
  <si>
    <t>149964 BRAKET BURC BAGLANTI KAYNAK ×2</t>
  </si>
  <si>
    <t>Oluk Taşıma Mafsalı</t>
  </si>
  <si>
    <t>396659 OLUK TAŞIMA MAFSAL BURÇ 1 ×1</t>
  </si>
  <si>
    <t>Hıdrolık Pompa Baglantı Braketı</t>
  </si>
  <si>
    <t>1225645 KUTU PROF L Ø80X60X6 L=100 mm ×1</t>
  </si>
  <si>
    <t>Bağlantı Kolu Kaynak Montaj</t>
  </si>
  <si>
    <t>238325 BAGLANTI KOLU BORUSU ×1</t>
  </si>
  <si>
    <t>H43-5 Rz 5.BOM Dayama</t>
  </si>
  <si>
    <t>657848 BORU Ø40x30mm L:65.5 mm ×1</t>
  </si>
  <si>
    <t>Elektrikli Valf Baglanti Saci</t>
  </si>
  <si>
    <t>Su Pompası Sehpası</t>
  </si>
  <si>
    <t>Merdiven Bağlantısı Kaynak 2</t>
  </si>
  <si>
    <t>395685 Kutu profil 60x40x4 L=541,4 ×1</t>
  </si>
  <si>
    <t>Bom Valf Sehbası</t>
  </si>
  <si>
    <t>6 Kollu Bom Valfi</t>
  </si>
  <si>
    <t>Merdiven Taşıma</t>
  </si>
  <si>
    <t>Pano Baglantısı Sol</t>
  </si>
  <si>
    <t>Pano Baglantısı Sag</t>
  </si>
  <si>
    <t>Kazan Tampon Baglantisi</t>
  </si>
  <si>
    <t>189225 Kazan Tampon Baglanti Parçası - 189225 ×1</t>
  </si>
  <si>
    <t>Tesısat Baglantı Kolu</t>
  </si>
  <si>
    <t>379465 60X40X4 L=650 MM KUTU PROFİL ×1</t>
  </si>
  <si>
    <t>Ayak Tutma Braketi</t>
  </si>
  <si>
    <t>240998 Kutu Profil:80x80x6 L:148.5mm ×1</t>
  </si>
  <si>
    <t>H58-7RRZ Su Tankı Sehpası</t>
  </si>
  <si>
    <t>Sol Kazan Basamagı</t>
  </si>
  <si>
    <t>H51 Ön Bom Desteği</t>
  </si>
  <si>
    <t>H58-7RRZ Bom Valf Sehpa Kaynak - 3</t>
  </si>
  <si>
    <t>Mack GU-BST51 Full Heıght (200MM)</t>
  </si>
  <si>
    <t>H68 Pano Tutucu</t>
  </si>
  <si>
    <t>Uç Hortum Kelepçe Tutucu Kaynak 2</t>
  </si>
  <si>
    <t>430863 BORU 18x3,5x21mm ×2</t>
  </si>
  <si>
    <t>H600.00.00.102421ENKODER Baglantı Sacı</t>
  </si>
  <si>
    <t>H51 4.BOM Desteği KAYNAK-3</t>
  </si>
  <si>
    <t>771106 Kutu Profil: 100x50x5 L:265mm ×1; 771109 Kutu Profil: 100x50x5 L:170mm ×1</t>
  </si>
  <si>
    <t>H51 Pedestal Kule Beton Hat Merkezleme</t>
  </si>
  <si>
    <t>H58 Konvertör Pano Sehpası</t>
  </si>
  <si>
    <t>Mack GU-BST51 Fırst Plate (250MM)</t>
  </si>
  <si>
    <t>Mack Terra Pro Cekı Sacı</t>
  </si>
  <si>
    <t>Ön Bom Destek Ayakları</t>
  </si>
  <si>
    <t>100982 100982.prt ×1</t>
  </si>
  <si>
    <t>H24.90 - H30.14S - H47.16 Su Kutusu Askısı</t>
  </si>
  <si>
    <t>105263 ASKI MİLİ 135mm ×2</t>
  </si>
  <si>
    <t>Kaynak Somunu - Sac Bağlantısı</t>
  </si>
  <si>
    <t>323753 DIN 929 M10 Kaynak Somunu ×4</t>
  </si>
  <si>
    <t>Spanzet Bağlantısı</t>
  </si>
  <si>
    <t>C.2</t>
  </si>
  <si>
    <t>Sutem Sehbası Destek</t>
  </si>
  <si>
    <t>H68-6 Bom Valfi Sehpası</t>
  </si>
  <si>
    <t>1180704 Sac ×1; 1180713 Sac ×1</t>
  </si>
  <si>
    <t>Arka Ayak Kılıt Dayama (25MM Kısa)</t>
  </si>
  <si>
    <t>1154214 KUTU PROFİL 60x60x4 L: 515 mm ×1</t>
  </si>
  <si>
    <t>H68 Ön Ayak Kilit Montaj Braketi</t>
  </si>
  <si>
    <t>H37.H40 Pano Altlığı Montaj</t>
  </si>
  <si>
    <t>1098449</t>
  </si>
  <si>
    <t>Dişli Koruma Bağlantısı</t>
  </si>
  <si>
    <t>H68 Valf Braketi Sag</t>
  </si>
  <si>
    <t>Civatalı Basamak Bağlatı</t>
  </si>
  <si>
    <t>H51-ABD-SAĞ Sol Takoz</t>
  </si>
  <si>
    <t>232731 Aski Takozu ×1; 1056824 H51-ABD- TAKOZ MİLİ ×1</t>
  </si>
  <si>
    <t>H37 Arka Bom Desteği Japonya</t>
  </si>
  <si>
    <t>433808 Kutu Profil: 160x80x8 L:145mm ×1</t>
  </si>
  <si>
    <t>H68 Sag Tambur Kaynak 1</t>
  </si>
  <si>
    <t>H68 Sol Tambur Kaynak 1</t>
  </si>
  <si>
    <t>H37 Yatay Hat Kelepçe Tutucu</t>
  </si>
  <si>
    <t>H51-H52 Askı Bıgmouth 160 m3</t>
  </si>
  <si>
    <t>Ortak Kazan Su Kutusu Askı Grubu</t>
  </si>
  <si>
    <t>H47 - H68 Abd Su Kutusu Askısı</t>
  </si>
  <si>
    <t>H58 Abd Pano Sehpası</t>
  </si>
  <si>
    <t>Braket Burc Baglanti</t>
  </si>
  <si>
    <t>149771 BRAKET BURC ×1</t>
  </si>
  <si>
    <t>Allfett Otomatik Yağlama Dağıtıcı Blok Sehpası</t>
  </si>
  <si>
    <t>H37/ H37 Japonya Su Kutusu Askı Sacı</t>
  </si>
  <si>
    <t>Allstar Kazan Grubu Silindir Emniyet Saci</t>
  </si>
  <si>
    <t>AS26-32 Tampon Sol</t>
  </si>
  <si>
    <t>117715 TAMPON AYARLI MONTAJ ×1</t>
  </si>
  <si>
    <t>4" Cıvatalı Ayaklı Kelepçe</t>
  </si>
  <si>
    <t>H411_03_00_00008 KELEPÇE 2 CIVATALI (K000231427) ×1</t>
  </si>
  <si>
    <t>H47 Usa Yatay Hat Tutucu</t>
  </si>
  <si>
    <t>713971 H47 USA arka bom desteği yatay hat tutucu kaynak (alt montaj) ×1; 716923 H47 USA yatay hat kelepçe tutucu ×1; H900.00066 DIN125 M16 rondela ×20; H900.00070 DIN985 M16 somun ×10; H900.00073 Cıvata M16x40 DIN933 ×6; H900.00016 Cıvata M16x45 DIN933 ×4</t>
  </si>
  <si>
    <t>TOPLAM (195 ürün)</t>
  </si>
  <si>
    <t>Toplam satırında €/ürün ve kg sütunları sipariş adediyle çarpılarak toplanmıştır (sipariş bazında). "Boya €/ürün" toplamı yaş boyada araba yuvarlaması içermez; kesin boya tutarı Sipariş toplamı ve Genel Özet sayfasındadır.</t>
  </si>
  <si>
    <t>Örnek: Satınalma malzeme hücresine ürün başına satın alınacak kalemlerin toplam € tutarını girin (ör. 12,50). Boş kalan hücre 0 sayılır.</t>
  </si>
  <si>
    <t>Parametreler – ST52 maliyet analizi</t>
  </si>
  <si>
    <t>Sarı hücreler değiştirilebilir; Maliyet Analizi sayfası yeniden hesaplanır.</t>
  </si>
  <si>
    <t>Parametre</t>
  </si>
  <si>
    <t>Değer</t>
  </si>
  <si>
    <t>Sac satınalma fiyatı (€/kg)</t>
  </si>
  <si>
    <t>Sac Parametreleri B4 buna bağlı</t>
  </si>
  <si>
    <t>Hurda (fire) satış fiyatı (€/kg)</t>
  </si>
  <si>
    <t>Sac Parametreleri B5 buna bağlı</t>
  </si>
  <si>
    <t>Büküm saat ücreti (€/h)</t>
  </si>
  <si>
    <t>İşçilik Parametreleri B9 (bağlı)</t>
  </si>
  <si>
    <t>Puntalama saat ücreti (€/h)</t>
  </si>
  <si>
    <t>İşçilik Parametreleri B17 (bağlı)</t>
  </si>
  <si>
    <t>Kaynak saat ücreti (€/h)</t>
  </si>
  <si>
    <t>İşçilik Parametreleri B25 (bağlı)</t>
  </si>
  <si>
    <t>Yaş boya araba maliyeti (€/araba)</t>
  </si>
  <si>
    <t>Kullanıcı girdisi (31.10.2026) – Yaş Boya Listesi ve İşçilik Parametreleri buna bağlı</t>
  </si>
  <si>
    <t>Yaş boya varsayılan parça/araba</t>
  </si>
  <si>
    <t>Değer boşsa kullanılır (ST52_ozet_guncel B7)</t>
  </si>
  <si>
    <t>Satış fiyatı katsayısı (birim maliyet ×)</t>
  </si>
  <si>
    <t>Kullanıcı girdisi (20.10.2026)</t>
  </si>
  <si>
    <t>Kataforez tahmini – küçük sac parça €/kg (yüksek senaryo)</t>
  </si>
  <si>
    <t>Teklifi olmayan küçük parçalar için: en yakın emsal 404570 Stop Braket (0,36 kg), iki teklifin yükseği / ağırlık</t>
  </si>
  <si>
    <t>Notlar</t>
  </si>
  <si>
    <t>• Sac maliyeti = Brüt sac (kg) × sac €/kg − Fire (kg) × hurda €/kg. Brüt sac, fire ve sac maliyeti "Sac Özet" sayfasından formülle gelir (Sac Parça Detay toplamları).</t>
  </si>
  <si>
    <t xml:space="preserve">  Kalınlık bazlı ve Hardox fiyatı "Sac Parametreleri" sayfasında girilir; Maliyet Analizi otomatik güncellenir.</t>
  </si>
  <si>
    <t>• Büküm / punta / kaynak süreleri (ch = saatin yüzde biri) "İşçilik Özet" sayfasından (W–Y) formülle çekilir; saat ücretleri İşçilik Parametreleri sayfasında. € = ch / 100 × saat ücreti.</t>
  </si>
  <si>
    <t>• Boya: Kataforez → değer = €/parça (elle girilir). Yaş boya → €/parça = araba maliyeti / parça-araba; sipariş boya = YUKARIYUVARLA(adet / parça-araba) × araba maliyeti.</t>
  </si>
  <si>
    <t>• "Satınalma malzeme" = Satınalma Parçaları sayfasında adet × fiyat (L sütunu) ürün bazında toplamı; fiyatı sayı olmayan kalemler 0 sayılır.</t>
  </si>
  <si>
    <t xml:space="preserve">  Hangi kalemlerin satın alınacağı "Satınalma Kalemleri" sayfasında listelendi (kaynak: ST52_sac_maliyet_ozet.xlsx › Hesap Dışı Parçalar; "Resimde yok" satırları hariç).</t>
  </si>
  <si>
    <t>• Sac (31.10.2026 güncel) ve işçilik bu dosyadaki İşçilik sayfalarından canlı hesaplanır (birleştirme 31.10.2026).</t>
  </si>
  <si>
    <t>Kaynaklı ST52 Maliyet Özeti – İşçilik (ST52_ozet_guncel_iscilikler.xlsx, birleştirildi 31.10.2026)</t>
  </si>
  <si>
    <t>195 ürün (58 STEP modelinden, 137 STEP olmadan teknik resimden tahmin: "Kaynak" sütunu) · oluşturma 2026-10-19 · parametreler "Parametreler" sayfasında · sarı hücreler girdi (boya yöntemi, değer, adet)</t>
  </si>
  <si>
    <t>MODEL</t>
  </si>
  <si>
    <t>DİKİŞ BOYU</t>
  </si>
  <si>
    <t>SÜRE (PARÇA BAŞI, CH)</t>
  </si>
  <si>
    <t>MALİYET</t>
  </si>
  <si>
    <t>Yüzey (resim)</t>
  </si>
  <si>
    <t>Bulgu: fark</t>
  </si>
  <si>
    <t>Bulgu: eksik/çelişki</t>
  </si>
  <si>
    <t>Parça</t>
  </si>
  <si>
    <t>Puntalanan parça</t>
  </si>
  <si>
    <t>kg resim</t>
  </si>
  <si>
    <t>kg model</t>
  </si>
  <si>
    <t>Fark %</t>
  </si>
  <si>
    <t>Birleşim (temas hariç)</t>
  </si>
  <si>
    <t>Dikiş sayısı</t>
  </si>
  <si>
    <t>Punta</t>
  </si>
  <si>
    <t>Dikiş a≤4 (mm)</t>
  </si>
  <si>
    <t>a5 (mm)</t>
  </si>
  <si>
    <t>a6 (mm)</t>
  </si>
  <si>
    <t>a7 (mm)</t>
  </si>
  <si>
    <t>a≥8 (mm)</t>
  </si>
  <si>
    <t>Toplam (m)</t>
  </si>
  <si>
    <t>Toplam dk</t>
  </si>
  <si>
    <t>Yöntem</t>
  </si>
  <si>
    <t>Değer (€/parça ya da parça/araba)</t>
  </si>
  <si>
    <t>Parça başı €</t>
  </si>
  <si>
    <t>Birim €</t>
  </si>
  <si>
    <t>Adet</t>
  </si>
  <si>
    <t>Sipariş €</t>
  </si>
  <si>
    <t>Saat</t>
  </si>
  <si>
    <t>1343489</t>
  </si>
  <si>
    <t>STEP modeli</t>
  </si>
  <si>
    <t>Epoksi astar 50+20 µm</t>
  </si>
  <si>
    <t>112616</t>
  </si>
  <si>
    <t>Astar: EPOKSI 50+20 μm</t>
  </si>
  <si>
    <t>404443</t>
  </si>
  <si>
    <t>103116</t>
  </si>
  <si>
    <t>475599</t>
  </si>
  <si>
    <t>112574</t>
  </si>
  <si>
    <t>Astar: EPOKSI 50+20 m</t>
  </si>
  <si>
    <t>475601</t>
  </si>
  <si>
    <t>400994</t>
  </si>
  <si>
    <t>386489</t>
  </si>
  <si>
    <t>677216</t>
  </si>
  <si>
    <t>678436</t>
  </si>
  <si>
    <t>384255</t>
  </si>
  <si>
    <t>701340</t>
  </si>
  <si>
    <t>404313</t>
  </si>
  <si>
    <t>Beyaz çinko kaplama (min. 12 µm)</t>
  </si>
  <si>
    <t>110434</t>
  </si>
  <si>
    <t>403043</t>
  </si>
  <si>
    <t>106773</t>
  </si>
  <si>
    <t>Astar: ASTAR BOYA 50+20 μm</t>
  </si>
  <si>
    <t>121806</t>
  </si>
  <si>
    <t>543533</t>
  </si>
  <si>
    <t>112569</t>
  </si>
  <si>
    <t>106544</t>
  </si>
  <si>
    <t>570812</t>
  </si>
  <si>
    <t>681073</t>
  </si>
  <si>
    <t>113467</t>
  </si>
  <si>
    <t>543377</t>
  </si>
  <si>
    <t>448594</t>
  </si>
  <si>
    <t>284248</t>
  </si>
  <si>
    <t>678363</t>
  </si>
  <si>
    <t>233507</t>
  </si>
  <si>
    <t>122681</t>
  </si>
  <si>
    <t>378776</t>
  </si>
  <si>
    <t>106223</t>
  </si>
  <si>
    <t>394275</t>
  </si>
  <si>
    <t>395388</t>
  </si>
  <si>
    <t>Astar: EPOKSI min. 30 μm</t>
  </si>
  <si>
    <t>106257</t>
  </si>
  <si>
    <t>561769</t>
  </si>
  <si>
    <t>383453</t>
  </si>
  <si>
    <t>709898</t>
  </si>
  <si>
    <t>232718</t>
  </si>
  <si>
    <t>103626</t>
  </si>
  <si>
    <t>182458</t>
  </si>
  <si>
    <t>182459</t>
  </si>
  <si>
    <t>120268</t>
  </si>
  <si>
    <t>120281</t>
  </si>
  <si>
    <t>114243</t>
  </si>
  <si>
    <t>213370</t>
  </si>
  <si>
    <t>404570</t>
  </si>
  <si>
    <t>105140</t>
  </si>
  <si>
    <t>543391</t>
  </si>
  <si>
    <t>217605</t>
  </si>
  <si>
    <t>1298479</t>
  </si>
  <si>
    <t>450299</t>
  </si>
  <si>
    <t>105666</t>
  </si>
  <si>
    <t>106253</t>
  </si>
  <si>
    <t>106261</t>
  </si>
  <si>
    <t>207243</t>
  </si>
  <si>
    <t>217603</t>
  </si>
  <si>
    <t>236288</t>
  </si>
  <si>
    <t>215629</t>
  </si>
  <si>
    <t>428929</t>
  </si>
  <si>
    <t>561773</t>
  </si>
  <si>
    <t>553127</t>
  </si>
  <si>
    <t>181720</t>
  </si>
  <si>
    <t>543414</t>
  </si>
  <si>
    <t>106857</t>
  </si>
  <si>
    <t>109189</t>
  </si>
  <si>
    <t>707775</t>
  </si>
  <si>
    <t>109023</t>
  </si>
  <si>
    <t>108027</t>
  </si>
  <si>
    <t>109984</t>
  </si>
  <si>
    <t>1162344</t>
  </si>
  <si>
    <t>213350</t>
  </si>
  <si>
    <t>216696</t>
  </si>
  <si>
    <t>448618</t>
  </si>
  <si>
    <t>680921</t>
  </si>
  <si>
    <t>388529</t>
  </si>
  <si>
    <t>105774</t>
  </si>
  <si>
    <t>Astar: EPOKSI min. 35 m</t>
  </si>
  <si>
    <t>147808</t>
  </si>
  <si>
    <t>110032</t>
  </si>
  <si>
    <t>1162338</t>
  </si>
  <si>
    <t>238114</t>
  </si>
  <si>
    <t>109921</t>
  </si>
  <si>
    <t>106943</t>
  </si>
  <si>
    <t>235743</t>
  </si>
  <si>
    <t>113487</t>
  </si>
  <si>
    <t>110067</t>
  </si>
  <si>
    <t>109670</t>
  </si>
  <si>
    <t>235262</t>
  </si>
  <si>
    <t>110030</t>
  </si>
  <si>
    <t>237104</t>
  </si>
  <si>
    <t>1251899</t>
  </si>
  <si>
    <t>103113</t>
  </si>
  <si>
    <t>226280</t>
  </si>
  <si>
    <t>101100</t>
  </si>
  <si>
    <t>121655</t>
  </si>
  <si>
    <t>1276458</t>
  </si>
  <si>
    <t>111837</t>
  </si>
  <si>
    <t>111838</t>
  </si>
  <si>
    <t>Astar: EPOKSI min. 35 μm</t>
  </si>
  <si>
    <t>125815</t>
  </si>
  <si>
    <t>235221</t>
  </si>
  <si>
    <t>235256</t>
  </si>
  <si>
    <t>1055920</t>
  </si>
  <si>
    <t>1252928</t>
  </si>
  <si>
    <t>235233</t>
  </si>
  <si>
    <t>115469</t>
  </si>
  <si>
    <t>681786</t>
  </si>
  <si>
    <t>681801</t>
  </si>
  <si>
    <t>543418</t>
  </si>
  <si>
    <t>147778</t>
  </si>
  <si>
    <t>108754</t>
  </si>
  <si>
    <t>108818</t>
  </si>
  <si>
    <t>109920</t>
  </si>
  <si>
    <t>385718</t>
  </si>
  <si>
    <t>236542</t>
  </si>
  <si>
    <t>672365</t>
  </si>
  <si>
    <t>1254954</t>
  </si>
  <si>
    <t>1239851</t>
  </si>
  <si>
    <t>236540</t>
  </si>
  <si>
    <t>235228</t>
  </si>
  <si>
    <t>108529</t>
  </si>
  <si>
    <t>110479</t>
  </si>
  <si>
    <t>110429</t>
  </si>
  <si>
    <t>236541</t>
  </si>
  <si>
    <t>103096</t>
  </si>
  <si>
    <t>379865</t>
  </si>
  <si>
    <t>435620</t>
  </si>
  <si>
    <t>1272015</t>
  </si>
  <si>
    <t>1280573</t>
  </si>
  <si>
    <t>120828</t>
  </si>
  <si>
    <t>241377</t>
  </si>
  <si>
    <t>149762</t>
  </si>
  <si>
    <t>396655</t>
  </si>
  <si>
    <t>1225643</t>
  </si>
  <si>
    <t>238323</t>
  </si>
  <si>
    <t>657844</t>
  </si>
  <si>
    <t>316188</t>
  </si>
  <si>
    <t>238048</t>
  </si>
  <si>
    <t>395097</t>
  </si>
  <si>
    <t>380290</t>
  </si>
  <si>
    <t>683708</t>
  </si>
  <si>
    <t>238625</t>
  </si>
  <si>
    <t>437788</t>
  </si>
  <si>
    <t>437797</t>
  </si>
  <si>
    <t>189224</t>
  </si>
  <si>
    <t>379461</t>
  </si>
  <si>
    <t>241116</t>
  </si>
  <si>
    <t>722932</t>
  </si>
  <si>
    <t>543659</t>
  </si>
  <si>
    <t>234404</t>
  </si>
  <si>
    <t>1298458</t>
  </si>
  <si>
    <t>1091748</t>
  </si>
  <si>
    <t>1297632</t>
  </si>
  <si>
    <t>1181234</t>
  </si>
  <si>
    <t>430862</t>
  </si>
  <si>
    <t>102421</t>
  </si>
  <si>
    <t>771104</t>
  </si>
  <si>
    <t>234456</t>
  </si>
  <si>
    <t>1216269</t>
  </si>
  <si>
    <t>1091735</t>
  </si>
  <si>
    <t>181733</t>
  </si>
  <si>
    <t>418374</t>
  </si>
  <si>
    <t>694385</t>
  </si>
  <si>
    <t>1204097</t>
  </si>
  <si>
    <t>393979</t>
  </si>
  <si>
    <t>448650</t>
  </si>
  <si>
    <t>1180538</t>
  </si>
  <si>
    <t>1154209</t>
  </si>
  <si>
    <t>603803</t>
  </si>
  <si>
    <t>108523</t>
  </si>
  <si>
    <t>480050</t>
  </si>
  <si>
    <t>1225785</t>
  </si>
  <si>
    <t>1152174</t>
  </si>
  <si>
    <t>1056822</t>
  </si>
  <si>
    <t>433814</t>
  </si>
  <si>
    <t>1255211</t>
  </si>
  <si>
    <t>1255224</t>
  </si>
  <si>
    <t>108544</t>
  </si>
  <si>
    <t>710674</t>
  </si>
  <si>
    <t>667583</t>
  </si>
  <si>
    <t>554887</t>
  </si>
  <si>
    <t>602345</t>
  </si>
  <si>
    <t>1216265</t>
  </si>
  <si>
    <t>149964</t>
  </si>
  <si>
    <t>1215518</t>
  </si>
  <si>
    <t>404630</t>
  </si>
  <si>
    <t>178519</t>
  </si>
  <si>
    <t>235832</t>
  </si>
  <si>
    <t>120832</t>
  </si>
  <si>
    <t>713969</t>
  </si>
  <si>
    <t>Toplam (195 ürün)</t>
  </si>
  <si>
    <t>Toplam iş saati (sipariş)</t>
  </si>
  <si>
    <t>İşçilik toplamı (sipariş)</t>
  </si>
  <si>
    <t>Boya / kaplama toplamı</t>
  </si>
  <si>
    <t>Sipariş toplamı</t>
  </si>
  <si>
    <t>Sipariş toplamı: STEP modelinden</t>
  </si>
  <si>
    <t>Sipariş toplamı: resimden tahmin</t>
  </si>
  <si>
    <t>Fiyatı girilmemiş kataforez</t>
  </si>
  <si>
    <t>Ortak parametreler</t>
  </si>
  <si>
    <t>Mavi yazılı / sarı hücreler girdi; değiştirince Özet sayfası yeniden hesaplanır. Kaynak: data.xlsx (Data sayfası); 1 ch = saatin yüzde biri (0,6 dk).</t>
  </si>
  <si>
    <t>Ağırlık katsayısı (büküm)</t>
  </si>
  <si>
    <t>Genel</t>
  </si>
  <si>
    <t>kg ≥</t>
  </si>
  <si>
    <t>katsayı</t>
  </si>
  <si>
    <t>Para birimi</t>
  </si>
  <si>
    <t>€</t>
  </si>
  <si>
    <t>Yaş boya araba maliyeti</t>
  </si>
  <si>
    <t>€/araba – Parametreler B10 ile bağlı</t>
  </si>
  <si>
    <t>Özet'te değer boşsa</t>
  </si>
  <si>
    <t>Saat ücreti</t>
  </si>
  <si>
    <t>€/h</t>
  </si>
  <si>
    <t>Makine ayarı</t>
  </si>
  <si>
    <t>ch / parti</t>
  </si>
  <si>
    <t>Parti büyüklüğü</t>
  </si>
  <si>
    <t>adet</t>
  </si>
  <si>
    <t>Taşıma</t>
  </si>
  <si>
    <t>ch / parça</t>
  </si>
  <si>
    <t>Kontrol</t>
  </si>
  <si>
    <t>Büküm başına</t>
  </si>
  <si>
    <t>ch / büküm</t>
  </si>
  <si>
    <t>Kaynak hızı (ch / m)</t>
  </si>
  <si>
    <t>Dinlenme katsayısı</t>
  </si>
  <si>
    <t>a</t>
  </si>
  <si>
    <t>Manuel</t>
  </si>
  <si>
    <t>Robot</t>
  </si>
  <si>
    <t>HTD</t>
  </si>
  <si>
    <t>Lazer</t>
  </si>
  <si>
    <t>Parça başına</t>
  </si>
  <si>
    <t>ch</t>
  </si>
  <si>
    <t>Elle indirme</t>
  </si>
  <si>
    <t>Vinçle indirme</t>
  </si>
  <si>
    <t>Vinç sınırı</t>
  </si>
  <si>
    <t>kg (montaj ağırlığı üstünde vinç)</t>
  </si>
  <si>
    <t>Konum değiştirme</t>
  </si>
  <si>
    <t>ch / birleşim</t>
  </si>
  <si>
    <t>a3 → a4 hızı; a8 üstü → a8 hızı (tablo sınırı).</t>
  </si>
  <si>
    <t>Manuel / Robot / HTD / Lazer</t>
  </si>
  <si>
    <t>Dikiş ölçüsü (a)</t>
  </si>
  <si>
    <t>Resme göre</t>
  </si>
  <si>
    <t>Resme göre ya da 4–8 (tüm dikişler)</t>
  </si>
  <si>
    <t>Dikiş boyu katsayısı</t>
  </si>
  <si>
    <t>dikiş boyu = temas hattı/2 × katsayı</t>
  </si>
  <si>
    <t>Konum değ. manuel</t>
  </si>
  <si>
    <t>ch / dikiş</t>
  </si>
  <si>
    <t>Konum değ. robot/HTD</t>
  </si>
  <si>
    <t>Parça kodu</t>
  </si>
  <si>
    <t>Poz</t>
  </si>
  <si>
    <t>Tanım</t>
  </si>
  <si>
    <t>Adet (üründe)</t>
  </si>
  <si>
    <t>Büküm adedi</t>
  </si>
  <si>
    <t>Parça ağırlığı model (kg)</t>
  </si>
  <si>
    <t>Ağırlık katsayısı</t>
  </si>
  <si>
    <t>Büküm süresi (ch, ürün başı)</t>
  </si>
  <si>
    <t>0896258</t>
  </si>
  <si>
    <t>Sac parça</t>
  </si>
  <si>
    <t>0896259</t>
  </si>
  <si>
    <t>0896260</t>
  </si>
  <si>
    <t>106171</t>
  </si>
  <si>
    <t>0905894</t>
  </si>
  <si>
    <t>Sac:5mm</t>
  </si>
  <si>
    <t>0905895</t>
  </si>
  <si>
    <t>KAYNAK SOMUNU - SAC BAĞLANTISI</t>
  </si>
  <si>
    <t>234287</t>
  </si>
  <si>
    <t>H51 Arka Bom Desteği Poz-1</t>
  </si>
  <si>
    <t>0913352</t>
  </si>
  <si>
    <t>Kenar kapama sacı, sol</t>
  </si>
  <si>
    <t>0913353</t>
  </si>
  <si>
    <t>Kenar kapama sacı, sağ</t>
  </si>
  <si>
    <t>106437</t>
  </si>
  <si>
    <t>İç kemer sacı</t>
  </si>
  <si>
    <t>0913355</t>
  </si>
  <si>
    <t>Üst U sacı</t>
  </si>
  <si>
    <t>101097</t>
  </si>
  <si>
    <t>Sac t=6</t>
  </si>
  <si>
    <t>101094</t>
  </si>
  <si>
    <t>Sac t=5</t>
  </si>
  <si>
    <t>101099</t>
  </si>
  <si>
    <t>102406</t>
  </si>
  <si>
    <t>Sac ;t=3mm</t>
  </si>
  <si>
    <t>103091</t>
  </si>
  <si>
    <t>H52_6RZ KAİDE BORU TUTUCU POZ_1</t>
  </si>
  <si>
    <t>103114</t>
  </si>
  <si>
    <t>Yan sac (10 mm)</t>
  </si>
  <si>
    <t>114030</t>
  </si>
  <si>
    <t>Kavisli kapak sacı (büyük)</t>
  </si>
  <si>
    <t>114031</t>
  </si>
  <si>
    <t>Kavisli kapak sacı (küçük)</t>
  </si>
  <si>
    <t>103624</t>
  </si>
  <si>
    <t>BORU TUTUCU SAC</t>
  </si>
  <si>
    <t>105651</t>
  </si>
  <si>
    <t>H47-5 ELEKTRİK PANO SEHPA SACI</t>
  </si>
  <si>
    <t>106251</t>
  </si>
  <si>
    <t>Sac ;t=6mm</t>
  </si>
  <si>
    <t>106260</t>
  </si>
  <si>
    <t>Bukumlu sac</t>
  </si>
  <si>
    <t>106256</t>
  </si>
  <si>
    <t>394652</t>
  </si>
  <si>
    <t>H37-H40-H43-H47-H52 ÖN BOM DESTEK AYAĞI SAC1</t>
  </si>
  <si>
    <t>110568</t>
  </si>
  <si>
    <t>110569</t>
  </si>
  <si>
    <t>106812</t>
  </si>
  <si>
    <t>106821</t>
  </si>
  <si>
    <t>106858</t>
  </si>
  <si>
    <t>SAC</t>
  </si>
  <si>
    <t>106940</t>
  </si>
  <si>
    <t>Sac ;t=8mm</t>
  </si>
  <si>
    <t>108518</t>
  </si>
  <si>
    <t>108527</t>
  </si>
  <si>
    <t>108543</t>
  </si>
  <si>
    <t>108543.prt</t>
  </si>
  <si>
    <t>109209</t>
  </si>
  <si>
    <t>1077x140x5</t>
  </si>
  <si>
    <t>109212</t>
  </si>
  <si>
    <t>1055x140x5</t>
  </si>
  <si>
    <t>109215</t>
  </si>
  <si>
    <t>1745x114x5</t>
  </si>
  <si>
    <t>109218</t>
  </si>
  <si>
    <t>793x140x5</t>
  </si>
  <si>
    <t>109665</t>
  </si>
  <si>
    <t>109918</t>
  </si>
  <si>
    <t>SU TAPASI DEMİRİ - 1</t>
  </si>
  <si>
    <t>110534</t>
  </si>
  <si>
    <t>110536</t>
  </si>
  <si>
    <t>109983</t>
  </si>
  <si>
    <t>109989</t>
  </si>
  <si>
    <t>110028</t>
  </si>
  <si>
    <t>110028.prt</t>
  </si>
  <si>
    <t>110033</t>
  </si>
  <si>
    <t>Sac</t>
  </si>
  <si>
    <t>110035</t>
  </si>
  <si>
    <t>111839</t>
  </si>
  <si>
    <t>ARA ŞANZIMAN SALINCAĞI SAĞ POZ-1</t>
  </si>
  <si>
    <t>112567</t>
  </si>
  <si>
    <t>112568</t>
  </si>
  <si>
    <t>112582</t>
  </si>
  <si>
    <t>112575</t>
  </si>
  <si>
    <t>TAMPON AS BA LANTI SACI</t>
  </si>
  <si>
    <t>112633</t>
  </si>
  <si>
    <t>ŞASİ BAĞLANTILI TAMPON Sacı _112633</t>
  </si>
  <si>
    <t>112634</t>
  </si>
  <si>
    <t>ŞASİ BAĞLANTILI TAMPON Sacı _112634</t>
  </si>
  <si>
    <t>120232</t>
  </si>
  <si>
    <t>1163388</t>
  </si>
  <si>
    <t>1163376</t>
  </si>
  <si>
    <t>1163384</t>
  </si>
  <si>
    <t>113486</t>
  </si>
  <si>
    <t>112667</t>
  </si>
  <si>
    <t>Sac ; t =4 mm</t>
  </si>
  <si>
    <t>0921595</t>
  </si>
  <si>
    <t>1162340</t>
  </si>
  <si>
    <t>1162346</t>
  </si>
  <si>
    <t>123258</t>
  </si>
  <si>
    <t>1180540</t>
  </si>
  <si>
    <t>1180704</t>
  </si>
  <si>
    <t>1180713</t>
  </si>
  <si>
    <t>1181231</t>
  </si>
  <si>
    <t>H68 PANO TUTUCU SAC-1</t>
  </si>
  <si>
    <t>120273</t>
  </si>
  <si>
    <t>134x63x6</t>
  </si>
  <si>
    <t>0905896</t>
  </si>
  <si>
    <t>1215517</t>
  </si>
  <si>
    <t>Parça -1</t>
  </si>
  <si>
    <t>1215519</t>
  </si>
  <si>
    <t>Parça -2</t>
  </si>
  <si>
    <t>1216267</t>
  </si>
  <si>
    <t>1216273</t>
  </si>
  <si>
    <t>Sac; t=5mm</t>
  </si>
  <si>
    <t>121652</t>
  </si>
  <si>
    <t>121805</t>
  </si>
  <si>
    <t>Ø16x2 BORU L=1326,5mm</t>
  </si>
  <si>
    <t>121807</t>
  </si>
  <si>
    <t>Ø16x2 BORU L=233mm</t>
  </si>
  <si>
    <t>1239861</t>
  </si>
  <si>
    <t>1253018</t>
  </si>
  <si>
    <t>1253019</t>
  </si>
  <si>
    <t>1254963</t>
  </si>
  <si>
    <t>1254964</t>
  </si>
  <si>
    <t>1254967</t>
  </si>
  <si>
    <t>1254968</t>
  </si>
  <si>
    <t>710673</t>
  </si>
  <si>
    <t>Spanzet Ba lant s Kaynak bileşeni</t>
  </si>
  <si>
    <t>1255213</t>
  </si>
  <si>
    <t>1255226</t>
  </si>
  <si>
    <t>125816</t>
  </si>
  <si>
    <t>Duvar Saci 1</t>
  </si>
  <si>
    <t>125825</t>
  </si>
  <si>
    <t>Duvar Saci 2</t>
  </si>
  <si>
    <t>125837</t>
  </si>
  <si>
    <t>Duvar Saci 4</t>
  </si>
  <si>
    <t>125843</t>
  </si>
  <si>
    <t>Duvar Saci 3</t>
  </si>
  <si>
    <t>149794</t>
  </si>
  <si>
    <t>Ic Destek Saci</t>
  </si>
  <si>
    <t>209709</t>
  </si>
  <si>
    <t>C KANALI 170</t>
  </si>
  <si>
    <t>225071</t>
  </si>
  <si>
    <t>SWİTCH BAGLANTI SACI</t>
  </si>
  <si>
    <t>224790</t>
  </si>
  <si>
    <t>PLAKA BAGLANTI SACI-2</t>
  </si>
  <si>
    <t>224788</t>
  </si>
  <si>
    <t>PLAKA BAGLANTI SACI-1</t>
  </si>
  <si>
    <t>118149</t>
  </si>
  <si>
    <t>ARKA STOP LAMBASI KAZAN BAĞLANTI MONTAJI SAĞ bileşeni</t>
  </si>
  <si>
    <t>118141</t>
  </si>
  <si>
    <t>441198</t>
  </si>
  <si>
    <t>Hopper Level Sensor Saci</t>
  </si>
  <si>
    <t>683907</t>
  </si>
  <si>
    <t>KAZAN-TAMPON BAĞLANTI SACI SOL</t>
  </si>
  <si>
    <t>1276460</t>
  </si>
  <si>
    <t>1276466</t>
  </si>
  <si>
    <t>684033</t>
  </si>
  <si>
    <t>KAZAN-TAMPON BAĞLANTI SACI SAĞ</t>
  </si>
  <si>
    <t>1297635</t>
  </si>
  <si>
    <t>sac</t>
  </si>
  <si>
    <t>217668</t>
  </si>
  <si>
    <t>1298385</t>
  </si>
  <si>
    <t>1298480</t>
  </si>
  <si>
    <t>681200</t>
  </si>
  <si>
    <t>Kenar laması</t>
  </si>
  <si>
    <t>1343545</t>
  </si>
  <si>
    <t>Kenar laması (yeni switch)</t>
  </si>
  <si>
    <t>1343538</t>
  </si>
  <si>
    <t>681205</t>
  </si>
  <si>
    <t>1057048</t>
  </si>
  <si>
    <t>Tutamak</t>
  </si>
  <si>
    <t>176171</t>
  </si>
  <si>
    <t>Allstar Kazan silindir emniyet saci</t>
  </si>
  <si>
    <t>235077</t>
  </si>
  <si>
    <t>235068</t>
  </si>
  <si>
    <t>ARA ŞANZIMAN SALINCAĞI SOL POZ-1</t>
  </si>
  <si>
    <t>207241</t>
  </si>
  <si>
    <t>ÇIKRIK TABANCA TAŞIMA APARAT SACI 207241</t>
  </si>
  <si>
    <t>213315</t>
  </si>
  <si>
    <t>210724</t>
  </si>
  <si>
    <t>H37-H40 MOTOR KORUMA SACI - DIŞ KAYNAKLI-1</t>
  </si>
  <si>
    <t>106255</t>
  </si>
  <si>
    <t>Sac ;t= 6mm</t>
  </si>
  <si>
    <t>210723</t>
  </si>
  <si>
    <t>H37-H40 MOTOR KORUMA - ŞASE BAĞLANTI 1-1</t>
  </si>
  <si>
    <t>210722</t>
  </si>
  <si>
    <t>H37-H40 MOTOR KORUMA - SASE BAĞLANTI 2-1</t>
  </si>
  <si>
    <t>226281</t>
  </si>
  <si>
    <t>h51_k_kelepce_tutucu_p1.prt</t>
  </si>
  <si>
    <t>234401</t>
  </si>
  <si>
    <t>H51 Ön Bom Desteği Poz-1</t>
  </si>
  <si>
    <t>235222</t>
  </si>
  <si>
    <t>Yatay Boru Destek Sac -1</t>
  </si>
  <si>
    <t>235229</t>
  </si>
  <si>
    <t>D AGONEL BORU Ø63,5X5MM L=678.2mm</t>
  </si>
  <si>
    <t>235234</t>
  </si>
  <si>
    <t>Bukumlu Sac</t>
  </si>
  <si>
    <t>235257</t>
  </si>
  <si>
    <t>Yatay Boru Destek Sacı-1</t>
  </si>
  <si>
    <t>235263</t>
  </si>
  <si>
    <t>292242</t>
  </si>
  <si>
    <t>Yatay Boru Destek Sac -3</t>
  </si>
  <si>
    <t>235747</t>
  </si>
  <si>
    <t>H51 ELEKTRIK PANO SEHPA SACI</t>
  </si>
  <si>
    <t>236289</t>
  </si>
  <si>
    <t>H51 Platfrom Su tank Aya Sac -1</t>
  </si>
  <si>
    <t>236538</t>
  </si>
  <si>
    <t>DI KAYNAKLI-1</t>
  </si>
  <si>
    <t>236543</t>
  </si>
  <si>
    <t>SASE BA LANTI 1-1</t>
  </si>
  <si>
    <t>236545</t>
  </si>
  <si>
    <t>SASE BAĞLANTI 2-1</t>
  </si>
  <si>
    <t>238113</t>
  </si>
  <si>
    <t>H51 Bom Valfi Baglanti Sac 1</t>
  </si>
  <si>
    <t>238129</t>
  </si>
  <si>
    <t>H51 Bom Valfi Baglanti Sac 2</t>
  </si>
  <si>
    <t>238564</t>
  </si>
  <si>
    <t>Merdiven Taşıma Sacı</t>
  </si>
  <si>
    <t>241380</t>
  </si>
  <si>
    <t>Ø16x2 BORU L=1126,5mm</t>
  </si>
  <si>
    <t>HORTUM SARMA BORU-2</t>
  </si>
  <si>
    <t>284250</t>
  </si>
  <si>
    <t>Pano Sehpas Kaynak Montaj Sac _284250</t>
  </si>
  <si>
    <t>316194</t>
  </si>
  <si>
    <t>Elektrikli Valf Baglanti Saci 1</t>
  </si>
  <si>
    <t>106348</t>
  </si>
  <si>
    <t>SU TAPASI 160m³ POZ 2</t>
  </si>
  <si>
    <t>380289</t>
  </si>
  <si>
    <t>Bom Valf Sehpası P1</t>
  </si>
  <si>
    <t>383455</t>
  </si>
  <si>
    <t>SEHPA SACI</t>
  </si>
  <si>
    <t>383454</t>
  </si>
  <si>
    <t>SEHPA DESTEK PARÇASI</t>
  </si>
  <si>
    <t>115221</t>
  </si>
  <si>
    <t>115222</t>
  </si>
  <si>
    <t>115224</t>
  </si>
  <si>
    <t>384268</t>
  </si>
  <si>
    <t>Yan sac 1 (L)</t>
  </si>
  <si>
    <t>384269</t>
  </si>
  <si>
    <t>Yan sac 2 (L)</t>
  </si>
  <si>
    <t>550972</t>
  </si>
  <si>
    <t>Alt destek sacı (U klips)</t>
  </si>
  <si>
    <t>386216</t>
  </si>
  <si>
    <t>TAKOZLUK BAĞLANTISI SAC 1</t>
  </si>
  <si>
    <t>387230</t>
  </si>
  <si>
    <t>TAKOZLUK BAĞLANTISI PROFİL</t>
  </si>
  <si>
    <t>388531</t>
  </si>
  <si>
    <t>Platform su tankı ayağı h=110mm Sacı-1</t>
  </si>
  <si>
    <t>393977</t>
  </si>
  <si>
    <t>SPANZET BA LANTI SAC 1</t>
  </si>
  <si>
    <t>394276</t>
  </si>
  <si>
    <t>Z NC R KORUMA KAPAK SAC 1</t>
  </si>
  <si>
    <t>394651</t>
  </si>
  <si>
    <t>ÖN BOM DESTEK SAC 2</t>
  </si>
  <si>
    <t>112271</t>
  </si>
  <si>
    <t>227593</t>
  </si>
  <si>
    <t>Koruma Saci</t>
  </si>
  <si>
    <t>404573</t>
  </si>
  <si>
    <t>429040</t>
  </si>
  <si>
    <t>429071</t>
  </si>
  <si>
    <t>430866</t>
  </si>
  <si>
    <t>435622</t>
  </si>
  <si>
    <t>Ara travers Sac 2</t>
  </si>
  <si>
    <t>437444</t>
  </si>
  <si>
    <t>437665</t>
  </si>
  <si>
    <t>448596</t>
  </si>
  <si>
    <t>448620</t>
  </si>
  <si>
    <t>448659</t>
  </si>
  <si>
    <t>450295</t>
  </si>
  <si>
    <t>475602</t>
  </si>
  <si>
    <t>475603</t>
  </si>
  <si>
    <t>550975</t>
  </si>
  <si>
    <t>475615</t>
  </si>
  <si>
    <t>60MM TAKOZLUK BAĞLANTI SACI</t>
  </si>
  <si>
    <t>543381</t>
  </si>
  <si>
    <t>BORU Ø63,5X5MM L=501mm</t>
  </si>
  <si>
    <t>543380</t>
  </si>
  <si>
    <t>BORU Ø63,5X5MM L=296mm</t>
  </si>
  <si>
    <t>543392</t>
  </si>
  <si>
    <t>BORU Ø63,5X5MM L=406mm</t>
  </si>
  <si>
    <t>561359</t>
  </si>
  <si>
    <t>Konvertör Sacı</t>
  </si>
  <si>
    <t>561657</t>
  </si>
  <si>
    <t>Konvertör Sehpa Sacı</t>
  </si>
  <si>
    <t>561666</t>
  </si>
  <si>
    <t>570806</t>
  </si>
  <si>
    <t>570808</t>
  </si>
  <si>
    <t>603527</t>
  </si>
  <si>
    <t>677177</t>
  </si>
  <si>
    <t>677419</t>
  </si>
  <si>
    <t>677217</t>
  </si>
  <si>
    <t>677400</t>
  </si>
  <si>
    <t>105654</t>
  </si>
  <si>
    <t>7 KOLLU BOM VALFİ SACI SAĞ</t>
  </si>
  <si>
    <t>105662</t>
  </si>
  <si>
    <t>7 KOLLU BOM VALFİ SACI SOL</t>
  </si>
  <si>
    <t>678437</t>
  </si>
  <si>
    <t>678438</t>
  </si>
  <si>
    <t>678440</t>
  </si>
  <si>
    <t>678439</t>
  </si>
  <si>
    <t>680923</t>
  </si>
  <si>
    <t>602582</t>
  </si>
  <si>
    <t>681787</t>
  </si>
  <si>
    <t>597468</t>
  </si>
  <si>
    <t>0893632</t>
  </si>
  <si>
    <t>BUMPER TYPE-1 bileşeni</t>
  </si>
  <si>
    <t>707777</t>
  </si>
  <si>
    <t>719x212.5x8</t>
  </si>
  <si>
    <t>707778</t>
  </si>
  <si>
    <t>602.5x177.5x8</t>
  </si>
  <si>
    <t>709900</t>
  </si>
  <si>
    <t>722934</t>
  </si>
  <si>
    <t>H58-SU TANKI SEHPASI</t>
  </si>
  <si>
    <t>771108</t>
  </si>
  <si>
    <t>Tür</t>
  </si>
  <si>
    <t>Etiket</t>
  </si>
  <si>
    <t>Bulgu</t>
  </si>
  <si>
    <t>Eksik/Not</t>
  </si>
  <si>
    <t>Eksik</t>
  </si>
  <si>
    <t>Resimde kaynak sembolü yok; tüm temas hatları tek taraf köşe dikişi (a4) varsayıldı.</t>
  </si>
  <si>
    <t>Detay Y: U sac ile yan şerit arası "Kaynak ile dolgu". Kaplama/astar bilgisi resimde yok.</t>
  </si>
  <si>
    <t>Uyumlu</t>
  </si>
  <si>
    <t>Parça listesi (7 poz, 8 adet) modelle aynı.</t>
  </si>
  <si>
    <t>STEP'te adı olmayan/farklı gövdeler ağırlığa göre eşlendi: SOLID → 0896258, SOLID → 0896259.</t>
  </si>
  <si>
    <t>Çelişki</t>
  </si>
  <si>
    <t>Kaynak kalitesi "EN ISO 5817 (B) orta seviye" yazıyor. Standartta B en sıkı seviye, orta seviye C'dir.</t>
  </si>
  <si>
    <t>Fark/Hata</t>
  </si>
  <si>
    <t>Fark</t>
  </si>
  <si>
    <t>ST52 ihtiyaç listesindeki (Excel) birim ağırlık 70,4 kg; resimde 55,4 kg.</t>
  </si>
  <si>
    <t>Büyük yarıçaplı bükümler silindirde (hadde) şekillendirilir, abkant süresi gerçeği yansıtmayabilir: 0896258 R120×40°, 0896258 R120×40°, 106171 R133×29°, 106171 R98×55°, 106171 R98×65°, 106171 R133×25°.</t>
  </si>
  <si>
    <t>Poz 6 (1204097) "Kaynak somunu – sac bağlantısı" alt montajı; 323753 kaynak somunları ×4 bu alt montajın parçası.</t>
  </si>
  <si>
    <t xml:space="preserve">Parça listesi uyuşmuyor. Modelde olup resimde olmayan: 323753 ×4. </t>
  </si>
  <si>
    <t>STEP'te adı olmayan/farklı gövdeler ağırlığa göre eşlendi: SOLID → 0905892, SOLID → 0905893, SOLID → 0905895, 0905896 → 1204097.</t>
  </si>
  <si>
    <t>ST52 ihtiyaç listesindeki (Excel) birim ağırlık 61,3 kg; resimde 57,2 kg.</t>
  </si>
  <si>
    <t>Büyük yarıçaplı bükümler silindirde (hadde) şekillendirilir, abkant süresi gerçeği yansıtmayabilir: 0905894 R120×40°, 234287 R98×55°, 234287 R98×65°, 234287 R133×25°, 234287 R133×29°.</t>
  </si>
  <si>
    <t>Ana ölçüler modelle birebir: 1254 yükseklik, 756 üst genişlik, ▷440 U iç açıklığı, ▷962, 893, ▷702, ▷670, 950, 140, Ø65 delikler (550 / +100).</t>
  </si>
  <si>
    <t>Somun yerleri modelle aynı: detay X 8× M10, detay Y 3× M8 (DIN 929).</t>
  </si>
  <si>
    <t>Resimde dikişler için kaynak sembolü yok (tip, a-ölçüsü, boy, sürekli/kesik belirtilmemiş). Sadece punta ve detay X'te "kaynak ile dolgu" notu var.</t>
  </si>
  <si>
    <t>Büküm yarıçap/açı ölçüleri resimde yok; değerler STEP modelinden. R30–R133 bükümler standart V kalıbıyla çıkmaz.</t>
  </si>
  <si>
    <t>Model ile resim listesi ağırlığı farklı: poz 1 (0913350) +10%, poz 2 (0913351) +10%, poz 3 (0913352) +9%, poz 4 (0913353) +11%, poz 6 (0913355) +18%.</t>
  </si>
  <si>
    <t>Parça listesi (9 poz, 19 adet) modelle aynı.</t>
  </si>
  <si>
    <t>ST52 ihtiyaç listesindeki (Excel) birim ağırlık 75,9 kg; resimde 57,4 kg.</t>
  </si>
  <si>
    <t>Büyük yarıçaplı bükümler silindirde (hadde) şekillendirilir, abkant süresi gerçeği yansıtmayabilir: 106437 R133×25°, 106437 R133×25°.</t>
  </si>
  <si>
    <t>Tahmin</t>
  </si>
  <si>
    <t>STEP modeli yok. Parça listesi, büküm adedi, dikiş boyu ve dikiş sayısı teknik resimden tahmin edildi.</t>
  </si>
  <si>
    <t>Resimde kaynak sembolü yok; dikişler tek taraf köşe dikişi (a6) varsayıldı.</t>
  </si>
  <si>
    <t>Eski format (2017), sayfa 1 sol / sayfa 2 sağ. Kaynak sembolü yok; 120281 ile aynı yapı (a6 varsayıldı). Not: "Kilit mekanizması çalışacak şekilde kaynak uygulanacaktır". Listede plastik takoz ağırlığı 207,86 yazılmış (hatalı); antet ağırlığı boş. Kilit ağırlığı 120281'den (3,235 kg).</t>
  </si>
  <si>
    <t>Antet ağırlığı boş.</t>
  </si>
  <si>
    <t>ST52 ihtiyaç listesindeki (Excel) birim ağırlık 6,8 kg; resimde 8,6 kg.</t>
  </si>
  <si>
    <t>Şapka sac (4 büküm) + 2 mm flanş, köşe 2 (hesapta a4 hızı). Kataforez.</t>
  </si>
  <si>
    <t>ST52 ihtiyaç listesindeki (Excel) birim ağırlık 0,2 kg; resimde 0,2 kg.</t>
  </si>
  <si>
    <t>Kaide sacı (38° büküm) + 2 takviye; köşe 10 (hesapta a8). 103626/226280 ailesi.</t>
  </si>
  <si>
    <t>ST52 ihtiyaç listesindeki (Excel) birim ağırlık 6,4 kg; resimde 5,3 kg.</t>
  </si>
  <si>
    <t>Resim: a10 iki taraflı; hesapta a8 (tablo üst sınırı), süre düşük kalır.</t>
  </si>
  <si>
    <t>Parça listesi (2 poz, 3 adet) modelle aynı.</t>
  </si>
  <si>
    <t>ST52 ihtiyaç listesindeki (Excel) birim ağırlık 27,4 kg; resimde 21,5 kg.</t>
  </si>
  <si>
    <t>Ana ölçüler modelle aynı: 712,5 genişlik, 610 dış ölçü, 500 taban sacı, 140 yan sac yüksekliği.</t>
  </si>
  <si>
    <t>Resimdeki ad "125 EP TANDEM", ST52 listesindeki ad "PTO Pompa Salıncağı".</t>
  </si>
  <si>
    <t>Yüzey: kataforez yok, EPOKSİ 50+20 µm astar. Boya yöntemi yaş boya olarak açıldı.</t>
  </si>
  <si>
    <t>Kaynak sembolü sadece yan sac – taban birleşiminde (a5, iki taraf). Takviyeler ve kavisli kapaklar için sembol yok; tek taraf a5 varsayıldı.</t>
  </si>
  <si>
    <t xml:space="preserve">Parça listesi uyuşmuyor. Modelde olup resimde olmayan: 209708 ×2. </t>
  </si>
  <si>
    <t>Resim listesinde kalınlık çelişkisi: poz 3 (103118): açıklama t=10 mm, kalınlık sütunu 6,000.</t>
  </si>
  <si>
    <t>ST52 ihtiyaç listesindeki (Excel) birim ağırlık 41,3 kg; resimde 32,6 kg.</t>
  </si>
  <si>
    <t>Büyük yarıçaplı bükümler silindirde (hadde) şekillendirilir, abkant süresi gerçeği yansıtmayabilir: 114030 R281×67°, 114031 R591×36°.</t>
  </si>
  <si>
    <t>Boru tutucu sacı (45° büküm) + 2 feder; köşe 10 (hesapta a8).</t>
  </si>
  <si>
    <t>ST52 ihtiyaç listesindeki (Excel) birim ağırlık 5,8 kg; resimde 4,7 kg.</t>
  </si>
  <si>
    <t>Resim: a12 köşe ve 8(8) V kaynak; hesapta a8 (tablo üst sınırı). a12 için süre düşük kalır.</t>
  </si>
  <si>
    <t>Parça listesi (3 poz, 4 adet) modelle aynı.</t>
  </si>
  <si>
    <t>ST52 ihtiyaç listesindeki (Excel) birim ağırlık 16,1 kg; resimde 11,7 kg.</t>
  </si>
  <si>
    <t>STEP'te 3 modellenmiş kaynak gövdesi var (FILLET_WELD_ID_724, GROOVE_WELD_ID_496, GROOVE_WELD_ID_98); parça sayılmadı.</t>
  </si>
  <si>
    <t>Resim: sac – takoz köşe dikişi 10; hız tablosu a8'e kadar, a8 ile hesaplandı. Mil uçları boyanmayacak, koruyucu yağ.</t>
  </si>
  <si>
    <t>Alt montaj: poz 2 1056820 (H51-ABD-SAĞ SOL TAKOZ KANAL İŞLEMİ) STEP'te bileşenleriyle var; ağırlık tutuyor.</t>
  </si>
  <si>
    <t>Parça listesi (2 poz, 5 adet) modelle aynı.</t>
  </si>
  <si>
    <t>ST52 ihtiyaç listesindeki (Excel) birim ağırlık 13,7 kg; resimde 15,2 kg.</t>
  </si>
  <si>
    <t>Resim: kesikli 5×40 (4 ad) ×2 + 5×40 (5 ad) + a5 köşe → toplam ≈ 600 mm a5. Dikiş boyları bu toplama ölçeklendi.</t>
  </si>
  <si>
    <t>Parça listesi (4 poz, 4 adet) modelle aynı.</t>
  </si>
  <si>
    <t>ST52 ihtiyaç listesindeki (Excel) birim ağırlık 12,9 kg; resimde 10,4 kg.</t>
  </si>
  <si>
    <t>STEP'te 4 modellenmiş kaynak gövdesi var (FILLET_WELD_ID_2654, FILLET_WELD_ID_3840, FILLET_WELD_ID_4489, FILLET_WELD_ID_5166); parça sayılmadı.</t>
  </si>
  <si>
    <t>Askı takozu + takoz mili, iki taraftan çevresel a5 (232718 ile aynı tip).</t>
  </si>
  <si>
    <t>Antet ağırlığı 2,228 kg, parça listesi toplamı 2,477 kg.</t>
  </si>
  <si>
    <t>ST52 ihtiyaç listesindeki (Excel) birim ağırlık 1,8 kg; resimde 2,2 kg.</t>
  </si>
  <si>
    <t>Resim: z6 (≈ a4) ve z12 dikişleri; hesapta a4.</t>
  </si>
  <si>
    <t>Parça listesi (4 poz, 11 adet) modelle aynı.</t>
  </si>
  <si>
    <t>ST52 ihtiyaç listesindeki (Excel) birim ağırlık 39,2 kg; resimde 30,9 kg.</t>
  </si>
  <si>
    <t>2 askı sacı 12 mm çubuğa geçme, köşe 8 iki taraf; kaynak sonrası taşlama.</t>
  </si>
  <si>
    <t>ST52 ihtiyaç listesindeki (Excel) birim ağırlık 2,2 kg; resimde 1,8 kg.</t>
  </si>
  <si>
    <t>U sac (2 büküm) + taban sacı a5. Resimde proses "BUKUM" yazıyor.</t>
  </si>
  <si>
    <t>ST52 ihtiyaç listesindeki (Excel) birim ağırlık 4,0 kg; resimde 3,1 kg.</t>
  </si>
  <si>
    <t>Resim: a5 köşe dikişleri, EN ISO 5817 (C).</t>
  </si>
  <si>
    <t>Hata</t>
  </si>
  <si>
    <t>Antet ağırlığı 10,882 kg, parça listesi toplamı 8,65 kg; model 8,7 kg. Antet ağırlığı hatalı.</t>
  </si>
  <si>
    <t>Bükümlü sac + destek sacı, a4.</t>
  </si>
  <si>
    <t>ST52 ihtiyaç listesindeki (Excel) birim ağırlık 4,1 kg; resimde 3,2 kg.</t>
  </si>
  <si>
    <t>Resimde kaynak sembolü yok; dikişler tek taraf köşe dikişi (a4) varsayıldı.</t>
  </si>
  <si>
    <t>U sac (2 büküm) taban sacına; resimde kaynak sembolü yok.</t>
  </si>
  <si>
    <t>ST52 ihtiyaç listesindeki (Excel) birim ağırlık 3,5 kg; resimde 2,7 kg.</t>
  </si>
  <si>
    <t>Resim: a3 köşe dikişi 132,9 mm ve 4 mm / 30° yarım V kaynak ağzı (4 yer). Hesapta a4 hızı (a3 ve yarım V için en yakın tablo değeri).</t>
  </si>
  <si>
    <t>ST52 ihtiyaç listesindeki (Excel) birim ağırlık 10,5 kg; resimde 8,3 kg.</t>
  </si>
  <si>
    <t>STEP'te 5 modellenmiş kaynak gövdesi var (FILLET_WELD_ID_1587, FILLET_WELD_ID_419, FILLET_WELD_ID_77, GROOVE_WELD_ID_7423, GROOVE_WELD_ID_8208); parça sayılmadı.</t>
  </si>
  <si>
    <t>Kaide sacı (48° büküm) + 2 takviye, köşe 8.</t>
  </si>
  <si>
    <t>ST52 ihtiyaç listesindeki (Excel) birim ağırlık 6,5 kg; resimde 5,2 kg.</t>
  </si>
  <si>
    <t>U sac (2 büküm) + orta takviye, köşe 8.</t>
  </si>
  <si>
    <t>ST52 ihtiyaç listesindeki (Excel) birim ağırlık 3,7 kg; resimde 2,9 kg.</t>
  </si>
  <si>
    <t>Resim: a8 iki taraflı ve 8(8) V kaynak.</t>
  </si>
  <si>
    <t>ST52 ihtiyaç listesindeki (Excel) birim ağırlık 11,9 kg; resimde 8,3 kg.</t>
  </si>
  <si>
    <t>STEP'te 3 modellenmiş kaynak gövdesi var (FILLET_WELD_ID_540, GROOVE_WELD_ID_312, GROOVE_WELD_ID_71); parça sayılmadı.</t>
  </si>
  <si>
    <t>Teknik resim yok; kaynaklar model temaslarından, a4 tek taraf varsayıldı.</t>
  </si>
  <si>
    <t>Teknik resim verilmedi; resim kontrolü yapılmadı.</t>
  </si>
  <si>
    <t>STEP'te 4 modellenmiş kaynak gövdesi var (FILLET_WELD_ID_2249, FILLET_WELD_ID_375, FILLET_WELD_ID_686, FILLET_WELD_ID_70); parça sayılmadı.</t>
  </si>
  <si>
    <t>Bükümlü tutucu sacı (2 büküm) + orta takviye, a5 (108544 ailesi).</t>
  </si>
  <si>
    <t>ST52 ihtiyaç listesindeki (Excel) birim ağırlık 3,3 kg; resimde 2,7 kg.</t>
  </si>
  <si>
    <t>Bükümlü kelepçe tutucu sacı (2 büküm) + orta takviye, a5.</t>
  </si>
  <si>
    <t>ST52 ihtiyaç listesindeki (Excel) birim ağırlık 3,6 kg; resimde 2,9 kg.</t>
  </si>
  <si>
    <t>İki sac arasında 2 adet Ø63,5×4 boru, çevresel a5.</t>
  </si>
  <si>
    <t>ST52 ihtiyaç listesindeki (Excel) birim ağırlık 6,7 kg; resimde 6,2 kg.</t>
  </si>
  <si>
    <t>İki sac arasında boru + 2 kulak sacı, a4 (237104 ailesi).</t>
  </si>
  <si>
    <t>ST52 ihtiyaç listesindeki (Excel) birim ağırlık 1,3 kg; resimde 1,5 kg.</t>
  </si>
  <si>
    <t>STEP'te 4 modellenmiş kaynak gövdesi var (FILLET_WELD_ID_1251, FILLET_WELD_ID_926, GROOVE_WELD_ID_519, GROOVE_WELD_ID_698); parça sayılmadı.</t>
  </si>
  <si>
    <t>Sayfa 1/2.</t>
  </si>
  <si>
    <t>ST52 ihtiyaç listesindeki (Excel) birim ağırlık 30,3 kg; resimde 23,2 kg.</t>
  </si>
  <si>
    <t>Taban sacı + 2 yan sac (1091743), sembol yok; sayfa 1/2; 1091743 malzemesi boş.</t>
  </si>
  <si>
    <t>Antet ağırlığı 4,094 kg, parça listesi toplamı 5,056 kg.</t>
  </si>
  <si>
    <t>ST52 ihtiyaç listesindeki (Excel) birim ağırlık 6,4 kg; resimde 4,1 kg.</t>
  </si>
  <si>
    <t>Antet ağırlığı 12,913 kg, parça listesi toplamı 10,1 kg; model 10,3 kg. Resimde malzeme belirtilmemiş. Sayfa 1/2.</t>
  </si>
  <si>
    <t>Model ile resim listesi ağırlığı farklı: poz 1 (1057083) +10%, poz 2 (1091751) -4%.</t>
  </si>
  <si>
    <t>Resim: tabanda köşe 6, diğerlerinde (5) ve 8 işaretleri; hesapta a6 varsayıldı. M8 somunlar puntalanacak. Yüzey kataforez.</t>
  </si>
  <si>
    <t>Parça listesi (8 poz, 11 adet) modelle aynı.</t>
  </si>
  <si>
    <t>STEP'te adı olmayan/farklı gövdeler ağırlığa göre eşlendi: SOLID → 109209, SOLID → 109212.</t>
  </si>
  <si>
    <t>ST52 ihtiyaç listesindeki (Excel) birim ağırlık 58,2 kg; resimde 46,7 kg.</t>
  </si>
  <si>
    <t>Büyük yarıçaplı bükümler silindirde (hadde) şekillendirilir, abkant süresi gerçeği yansıtmayabilir: 109215 R133×23°, 109215 R132×29°.</t>
  </si>
  <si>
    <t>Bükümlü kol sacı (2 büküm) + takviye, a5.</t>
  </si>
  <si>
    <t>ST52 ihtiyaç listesindeki (Excel) birim ağırlık 2,0 kg; resimde 1,6 kg.</t>
  </si>
  <si>
    <t>Antet ağırlığı 0,000 kg girilmiş. Resim sayfa 1/2.</t>
  </si>
  <si>
    <t>Model ile resim listesi ağırlığı farklı: poz 2 (1098452) -5%.</t>
  </si>
  <si>
    <t>Parça listesi (2 poz, 4 adet) modelle aynı.</t>
  </si>
  <si>
    <t>Takoz bloğa bükümlü demir + düz demir, köşe 8 ve 6.</t>
  </si>
  <si>
    <t>ST52 ihtiyaç listesindeki (Excel) birim ağırlık 2,5 kg; resimde 2,0 kg.</t>
  </si>
  <si>
    <t>Eski (2017) resim formatı; malzeme ST52.</t>
  </si>
  <si>
    <t>Parça listesi (4 poz, 6 adet) modelle aynı.</t>
  </si>
  <si>
    <t>ST52 ihtiyaç listesindeki (Excel) birim ağırlık 33,0 kg; resimde 26,0 kg.</t>
  </si>
  <si>
    <t>U sac (2 büküm) + 2 bükümlü ayak, a5.</t>
  </si>
  <si>
    <t>Bükümlü pano sacı + lama + tırnak, a4 (1216269 ile aynı tip).</t>
  </si>
  <si>
    <t>ST52 ihtiyaç listesindeki (Excel) birim ağırlık 1,6 kg; resimde 1,3 kg.</t>
  </si>
  <si>
    <t>Pano sehpası çerçeve sacı (4 kenar büküm) + U braket, a5 köşe dikişleri.</t>
  </si>
  <si>
    <t>ST52 ihtiyaç listesindeki (Excel) birim ağırlık 5,6 kg; resimde 4,5 kg.</t>
  </si>
  <si>
    <t>110479'un aynası (sağ). Listede sac ağırlığı 554,93 (gram olmalı).</t>
  </si>
  <si>
    <t>ST52 ihtiyaç listesindeki (Excel) birim ağırlık 0,7 kg; resimde 3,8 kg.</t>
  </si>
  <si>
    <t>Kutu profil 60x60 L540 + flanş ve takviye sacları, a3.</t>
  </si>
  <si>
    <t>ST52 ihtiyaç listesindeki (Excel) birim ağırlık 3,1 kg; resimde 6,1 kg.</t>
  </si>
  <si>
    <t>Satın alma ayak kilidi + 10 mm bağlantı sacı. Eski format (2017), sembol ve yüzey bilgisi yok. Listede sac ağırlığı 554,93 yazılmış (gram olmalı, 0,555 kg).</t>
  </si>
  <si>
    <t>Resim: a7 (ana), kesitte 8 ve 10 dikişleri; hesapta a7.</t>
  </si>
  <si>
    <t>ST52 ihtiyaç listesindeki (Excel) birim ağırlık 35,1 kg; resimde 27,6 kg.</t>
  </si>
  <si>
    <t>Teknik resim yok.</t>
  </si>
  <si>
    <t>STEP 79 kg, Excel ağırlığı 11,8 kg: STEP muhtemelen tüm tampon montajı. Doğru model/resim teyit edilmeli; süreler bu haliyle yüksek.</t>
  </si>
  <si>
    <t>STEP'te 24 modellenmiş kaynak gövdesi var (FILLET_WELD_ID_10038, FILLET_WELD_ID_11050, FILLET_WELD_ID_11310, FILLET_WELD_ID_11865, FILLET_WELD_ID_122, FILLET_WELD_); parça sayılmadı.</t>
  </si>
  <si>
    <t>L sac (1 büküm) + 2 üçgen takviye, köşe 8.</t>
  </si>
  <si>
    <t>ST52 ihtiyaç listesindeki (Excel) birim ağırlık 4,3 kg; resimde 3,6 kg.</t>
  </si>
  <si>
    <t>Basamak ızgarası: 12 şerit iki uçtan a3; yan yuvalar "kaynak ile doldurulacak ve taşlanacak".</t>
  </si>
  <si>
    <t>ST52 ihtiyaç listesindeki (Excel) birim ağırlık 5,2 kg; resimde 4,1 kg.</t>
  </si>
  <si>
    <t>DIN 934 M8 ×4 ve M10 ×7 somunlar sacın üstüne puntalanır (cıvata yok); punta olarak hesaba alındı.</t>
  </si>
  <si>
    <t>ST52 ihtiyaç listesindeki (Excel) birim ağırlık 96,4 kg; resimde 76,0 kg.</t>
  </si>
  <si>
    <t>Büyük yarıçaplı bükümler silindirde (hadde) şekillendirilir, abkant süresi gerçeği yansıtmayabilir: 120232 R128×22°, 120232 R98×68°, 120232 R98×68°, 120232 R128×22°, 1163388 R169×35°, 1163388 R150×35°, 1163384 R120×35°.</t>
  </si>
  <si>
    <t>Bükümlü sac (2 büküm) + gövde sacı, a6.</t>
  </si>
  <si>
    <t>ST52 ihtiyaç listesindeki (Excel) birim ağırlık 8,4 kg; resimde 6,7 kg.</t>
  </si>
  <si>
    <t>Merdiven profili + 3 basamak U sacı a5, flanş a5, uç a3 (543533 ile aynı tip).</t>
  </si>
  <si>
    <t>ST52 ihtiyaç listesindeki (Excel) birim ağırlık 5,3 kg; resimde 7,3 kg.</t>
  </si>
  <si>
    <t>Resim: kaynak ağızlı dikiş 6 (5), 45°, toplam 382,8 mm. 30 mm taban sacı + bükümlü U sac.</t>
  </si>
  <si>
    <t>Kutu profil 60×60 L515 + flanş ve takviyeler, a3 (110434'ün kısa versiyonu). Not: "110434 rework edilerek kullanılabilir".</t>
  </si>
  <si>
    <t>ST52 ihtiyaç listesindeki (Excel) birim ağırlık 3,1 kg; resimde 6,0 kg.</t>
  </si>
  <si>
    <t>108754 tipi: iki sac arasında 2 boru, z5 (≈a4/a5); üst sacta M12 somunlar z4 ile kaynaklı (punta sayıldı).</t>
  </si>
  <si>
    <t>ST52 ihtiyaç listesindeki (Excel) birim ağırlık 2,9 kg; resimde 5,9 kg.</t>
  </si>
  <si>
    <t>Taban sacı + 2 yan sac, sembol yok (1091740/1098449 ailesi).</t>
  </si>
  <si>
    <t>ST52 ihtiyaç listesindeki (Excel) birim ağırlık 5,1 kg; resimde 4,0 kg.</t>
  </si>
  <si>
    <t>U sac (2 büküm) + ara sac, köşe 8. EN ISO 5817 (C).</t>
  </si>
  <si>
    <t>ST52 ihtiyaç listesindeki (Excel) birim ağırlık 5,1 kg; resimde 4,1 kg.</t>
  </si>
  <si>
    <t>U sac (2 büküm) + 2 bükümlü ayak, a5. EN ISO 5817 (C).</t>
  </si>
  <si>
    <t>ST52 ihtiyaç listesindeki (Excel) birim ağırlık 2,3 kg; resimde 1,8 kg.</t>
  </si>
  <si>
    <t>Valf sehpa sacı + takviyeler; sembol yok, sayfa 1/2. Not: "5 ve 6 numaralı parçalar kaynaklanmayacaktır" (1180704, 1180713 bükülür, punta/kaynağa girmez).</t>
  </si>
  <si>
    <t>ST52 ihtiyaç listesindeki (Excel) birim ağırlık 8,1 kg; resimde 6,4 kg.</t>
  </si>
  <si>
    <t>L sac (1 büküm) + 4 üçgen takviye; sembol yok, kaplama bilgisi yok.</t>
  </si>
  <si>
    <t>ST52 ihtiyaç listesindeki (Excel) birim ağırlık 4,7 kg; resimde 3,7 kg.</t>
  </si>
  <si>
    <t>120281'in aynası (sol); a6, kilit mekanizması kaynaklı. Kataforez.</t>
  </si>
  <si>
    <t>ST52 ihtiyaç listesindeki (Excel) birim ağırlık 6,1 kg; resimde 8,2 kg.</t>
  </si>
  <si>
    <t>Ayak kilidi gövdesi (satın alma kilit H411.00160 kaynaklı), a6; not: "Kilit mekanizması çalışacak şekilde kaynak uygulanacaktır". Kataforez.</t>
  </si>
  <si>
    <t>Bükümlü sac + 4 adet DIN 929 M10 kaynak somunu (punta). Not: "Kaynak somunları kesimden gelen deliklere merkezlenerek kaynatılacaktır". Kaplama bilgisi yok.</t>
  </si>
  <si>
    <t>Satın alma sıkmalı kelepçe + 2 ayak sacı, köşe 10 (hesapta a8).</t>
  </si>
  <si>
    <t>ST52 ihtiyaç listesindeki (Excel) birim ağırlık 0,7 kg; resimde 4,0 kg.</t>
  </si>
  <si>
    <t>Resimde kaynak sembolü yok; dikişler tek taraf köşe dikişi (a8) varsayıldı.</t>
  </si>
  <si>
    <t>Satın alma 2 cıvatalı kelepçe + 2 ayak sacı; eski format, sembol ve yüzey bilgisi yok (120828 ile aynı tip, köşe 10 → a8).</t>
  </si>
  <si>
    <t>ST52 ihtiyaç listesindeki (Excel) birim ağırlık 0,7 kg; resimde 4,2 kg.</t>
  </si>
  <si>
    <t>Resimde kaynak sembolü yok; dikişler tek taraf köşe dikişi (a3) varsayıldı.</t>
  </si>
  <si>
    <t>Yağlama bloğu sehpası: 2 bükümlü sac + 4 üçgen takviye; sembol yok.</t>
  </si>
  <si>
    <t>ST52 ihtiyaç listesindeki (Excel) birim ağırlık 1,1 kg; resimde 0,9 kg.</t>
  </si>
  <si>
    <t>Pano sehpa sacı (kenar ve ayak bükümleri) + lama; sembol yok.</t>
  </si>
  <si>
    <t>Pano sehpa sacı (bükümlü) + lama + küçük tırnak; sembol ve yüzey bilgisi yok.</t>
  </si>
  <si>
    <t>Ø63,5 boru + bükümlü bağlantı sacı, köşe 3 ve 4.</t>
  </si>
  <si>
    <t>ST52 ihtiyaç listesindeki (Excel) birim ağırlık 0,2 kg; resimde 0,7 kg.</t>
  </si>
  <si>
    <t>Hortum sarma: Ø16×2 boru halka + 6 bükümlü boru kol + 4 mm sac (ST37). Eski format (2017), sembol ve yüzey bilgisi yok. Boru bükümleri abkant süresiyle hesaplandı.</t>
  </si>
  <si>
    <t>ST52 ihtiyaç listesindeki (Excel) birim ağırlık 1,3 kg; resimde 2,9 kg.</t>
  </si>
  <si>
    <t>Kutu profil 80×60 + 2 yan sac + ara sac + kapak; sembol yok. Poz 4 (1225654) S235J2N.</t>
  </si>
  <si>
    <t>ST52 ihtiyaç listesindeki (Excel) birim ağırlık 3,2 kg; resimde 3,6 kg.</t>
  </si>
  <si>
    <t>Valf braketi sacı + 3 adet M8 manşon (çevresel). Not: "1226286 markalamalı gelecek, manşonları ona göre kaynak ediniz". Proses ve yüzey bilgisi yok.</t>
  </si>
  <si>
    <t>ST52 ihtiyaç listesindeki (Excel) birim ağırlık 3,4 kg; resimde 2,8 kg.</t>
  </si>
  <si>
    <t>İki yan sac + ara saclar; a5 ve a6.</t>
  </si>
  <si>
    <t>ST52 ihtiyaç listesindeki (Excel) birim ağırlık 0,9 kg; resimde 0,7 kg.</t>
  </si>
  <si>
    <t>Oturma sehpası: 2 bükümlü yan sac + üst/alt bağlantı sacları, a4.</t>
  </si>
  <si>
    <t>ST52 ihtiyaç listesindeki (Excel) birim ağırlık 4,4 kg; resimde 3,4 kg.</t>
  </si>
  <si>
    <t>Resim: a5, toplam dikiş 1350,8 mm. Dikiş boyları bu toplama ölçeklendi.</t>
  </si>
  <si>
    <t>Parça listesi (2 poz, 2 adet) modelle aynı.</t>
  </si>
  <si>
    <t>STEP'te adı olmayan/farklı gövdeler ağırlığa göre eşlendi: SOLID → 1251901, SOLID → 1276058.</t>
  </si>
  <si>
    <t>ST52 ihtiyaç listesindeki (Excel) birim ağırlık 24,0 kg; resimde 18,9 kg.</t>
  </si>
  <si>
    <t>STEP'te 1 modellenmiş kaynak gövdesi var (FILLET_WELD_ID_3374); parça sayılmadı.</t>
  </si>
  <si>
    <t>Valf sehpa sacı (1 büküm) + 2 bükümlü kavisli takviye, a5 (iki taraf).</t>
  </si>
  <si>
    <t>ST52 ihtiyaç listesindeki (Excel) birim ağırlık 3,5 kg; resimde 2,8 kg.</t>
  </si>
  <si>
    <t>M10 somunlar "puntalanacak" (punta olarak hesaplandı). Detay B: "Kaynak ile dolgu".</t>
  </si>
  <si>
    <t>Alt montaj: poz 9 710674 (Spanzet Ba lant s Kaynak) STEP'te bileşenleriyle var; ağırlık tutuyor.</t>
  </si>
  <si>
    <t>Parça listesi (9 poz, 15 adet) modelle aynı.</t>
  </si>
  <si>
    <t>ST52 ihtiyaç listesindeki (Excel) birim ağırlık 63,8 kg; resimde 50,3 kg.</t>
  </si>
  <si>
    <t>Büyük yarıçaplı bükümler silindirde (hadde) şekillendirilir, abkant süresi gerçeği yansıtmayabilir: 1254968 R100×40°, 1254968 R100×50°, 1254968 R100×50°, 1254968 R100×40°.</t>
  </si>
  <si>
    <t>1255224'ün aynası (sağ tambur); 4 mm ×248 ×2 + 8 mm ×23, uçta dolgu.</t>
  </si>
  <si>
    <t>ST52 ihtiyaç listesindeki (Excel) birim ağırlık 4,6 kg; resimde 3,7 kg.</t>
  </si>
  <si>
    <t>Resim: 4 mm ×248 (iki taraf) + 8 mm ×23; uçta "Kaynak ile doldurulacaktır".</t>
  </si>
  <si>
    <t>Resim: tüm dikişler a3 (hesapta a4 hızı). Alt montajlar 125481/125484 (stop lambası bağlantısı) dahil.</t>
  </si>
  <si>
    <t>Alt montaj: poz 14 125484 (ARKA STOP LAMBASI KAZAN BAĞLANTI MONTAJI SAĞ), poz 13 125481 (ARKA STOP LAMBASI KAZAN BAĞLANTI MONTAJI SOL) STEP'te bileşenleriyle var; ağırlık tutuyor.</t>
  </si>
  <si>
    <t>Parça listesi (15 poz, 20 adet) modelle aynı.</t>
  </si>
  <si>
    <t>STEP'te adı olmayan/farklı gövdeler ağırlığa göre eşlendi: SOLID → 228112.</t>
  </si>
  <si>
    <t>ST52 ihtiyaç listesindeki (Excel) birim ağırlık 59,0 kg; resimde 47,9 kg.</t>
  </si>
  <si>
    <t>STEP'te 18 modellenmiş kaynak gövdesi var (FILLET_WELD_ID_1145, FILLET_WELD_ID_1239, FILLET_WELD_ID_1421, FILLET_WELD_ID_1464, FILLET_WELD_ID_2483, FILLET_WELD_ID_); parça sayılmadı.</t>
  </si>
  <si>
    <t>Resim: a3,5, toplam 286 mm. L sac (1 büküm) + takviye sacı.</t>
  </si>
  <si>
    <t>Resim: a4, toplam dikiş 3134,9 mm. Dikiş boyları bu toplama ölçeklendi.</t>
  </si>
  <si>
    <t>Rev. B (04.09.2026): 1276460 parçası revize edildi.</t>
  </si>
  <si>
    <t>Parça listesi (6 poz, 9 adet) modelle aynı.</t>
  </si>
  <si>
    <t>STEP'te adı olmayan/farklı gövdeler ağırlığa göre eşlendi: SOLID → 1276460.</t>
  </si>
  <si>
    <t>ST52 ihtiyaç listesindeki (Excel) birim ağırlık 11,2 kg; resimde 8,8 kg.</t>
  </si>
  <si>
    <t>STEP'te 1 modellenmiş kaynak gövdesi var (FILLET_WELD_ID_84); parça sayılmadı.</t>
  </si>
  <si>
    <t>1272015'in aynası (sağ); a3,5, toplam 286 mm.</t>
  </si>
  <si>
    <t>Bükümlü sehpa sacı + köşebent sac; sembol yok, kaplama bilgisi yok.</t>
  </si>
  <si>
    <t>ST52 ihtiyaç listesindeki (Excel) birim ağırlık 3,0 kg; resimde 2,4 kg.</t>
  </si>
  <si>
    <t>Resim: a5, toplam dikiş 1780,9 mm. L sac (1 büküm) + 2 takviye.</t>
  </si>
  <si>
    <t>ST52 ihtiyaç listesindeki (Excel) birim ağırlık 4,0 kg; resimde 3,2 kg.</t>
  </si>
  <si>
    <t>Resim: a4, toplam dikiş 3351,5 mm. Dikiş boyları bu toplama ölçeklendi. DIN 929 M10 kaynak somunu ve M12 DIN 934 somunlar punta.</t>
  </si>
  <si>
    <t>STEP'te 2 modellenmiş kaynak gövdesi var (FILLET_WELD_ID_2689, FILLET_WELD_ID_8097); parça sayılmadı.</t>
  </si>
  <si>
    <t>Bu bir montaj resmi (proses: MONTAJ). Ara borular Ø30 millere dizilmiş, uçlarda M30 taçlı somun + gupilya ile sıkılıyor; tutamak M8 ile cıvatalı. Bu temaslar kaynak hesabına alınmadı.</t>
  </si>
  <si>
    <t>Tek kaynak: vibratör sacı – Hardox lamalar (STEP'te modellenmiş kaynak gövdesi var, resimde sembol yok). a4 varsayıldı.</t>
  </si>
  <si>
    <t>Puntalama satırı bu üründe montaj süresi yerine geçer (parça başına süre × montaj elemanı olmayan parça adedi).</t>
  </si>
  <si>
    <t>Ana ölçüler modelle aynı: 1202 dış genişlik, 1243 mil boyu; 17 Hardox lama + 6 kenar laması, 40 ara boru.</t>
  </si>
  <si>
    <t>Adsız 2 gövde (COMPOUND) millerle aynı yerde duruyor; Rev. B'de çıkarılan kablo koruma borusu olabilir.</t>
  </si>
  <si>
    <t xml:space="preserve">Parça listesi uyuşmuyor. Modelde olup resimde olmayan: COMPOUND ×2. </t>
  </si>
  <si>
    <t>STEP'te adı olmayan/farklı gövdeler ağırlığa göre eşlendi: SOLID → 1343554, SOLID → 655949, H900_1423791 → H900.00024, H900_1423791 → H900.00024, H900_1423791 → H900.00024, H900_1423791 → H900.00024.</t>
  </si>
  <si>
    <t>Resmin prosesi MONTAJ: cıvata, somun, mil gibi montaj elemanları kaynak hesabına alınmadı.</t>
  </si>
  <si>
    <t>ST52 ihtiyaç listesindeki (Excel) birim ağırlık 19,4 kg; resimde 58,0 kg.</t>
  </si>
  <si>
    <t>STEP'te 1 modellenmiş kaynak gövdesi var (FILLET_WELD_ID_3222); parça sayılmadı.</t>
  </si>
  <si>
    <t>Taban sacı + boru dayama, çevresel a4. Antet ağırlığı boş.</t>
  </si>
  <si>
    <t>ST52 ihtiyaç listesindeki (Excel) birim ağırlık 1,3 kg; resimde 2,7 kg.</t>
  </si>
  <si>
    <t>Boru gövdeli bom destek bağlantısı: taban sacı + borular + takviye, a6/a4.</t>
  </si>
  <si>
    <t>ST52 ihtiyaç listesindeki (Excel) birim ağırlık 2,5 kg; resimde 5,9 kg.</t>
  </si>
  <si>
    <t>20 mm taban sacı + 2 adet 149964 burç bağlantı alt montajı + ara sac; köşe 8 ve 6. Alt montaj (149964) kendi resminde ayrıca hesaplandı, burada yalnızca montaj kaynakları var.</t>
  </si>
  <si>
    <t>ST52 ihtiyaç listesindeki (Excel) birim ağırlık 6,5 kg; resimde 7,8 kg.</t>
  </si>
  <si>
    <t>Bağlantı sacı + burç, iki taraftan çevresel köşe 5.</t>
  </si>
  <si>
    <t>ST52 ihtiyaç listesindeki (Excel) birim ağırlık 1,0 kg; resimde 1,2 kg.</t>
  </si>
  <si>
    <t>Bükümlü emniyet sacı + 2 küçük engel sacı, a3. Yüzey: beyaz çinko → fiyat elle girilecek (kataforez alanı).</t>
  </si>
  <si>
    <t>ST52 ihtiyaç listesindeki (Excel) birim ağırlık 0,5 kg; resimde 0,4 kg.</t>
  </si>
  <si>
    <t>Eski format (2019), "16 pcs"; orta sac iki yan sac arasında, kaynak sembolü yok.</t>
  </si>
  <si>
    <t>Resim: a8 iki taraflı. Resimde "2 pcs" notu.</t>
  </si>
  <si>
    <t>ST52 ihtiyaç listesindeki (Excel) birim ağırlık 29,5 kg; resimde 23,2 kg.</t>
  </si>
  <si>
    <t>STEP'te 1 modellenmiş kaynak gövdesi var (FILLET_WELD_ID_59); parça sayılmadı.</t>
  </si>
  <si>
    <t>Resim: 8 ve 10 köşe dikişleri, çevresel. Hesapta a8 (tablo üst sınırı).</t>
  </si>
  <si>
    <t>STEP'te adı olmayan/farklı gövdeler ağırlığa göre eşlendi: 235077_AF0 → 235077, 235081_AF0 → 235081.</t>
  </si>
  <si>
    <t>ST52 ihtiyaç listesindeki (Excel) birim ağırlık 34,3 kg; resimde 27,8 kg.</t>
  </si>
  <si>
    <t>STEP'te 3 modellenmiş kaynak gövdesi var (FILLET_WELD_ID_1415, FILLET_WELD_ID_2767, FILLET_WELD_ID_95); parça sayılmadı.</t>
  </si>
  <si>
    <t>STEP'te adı olmayan/farklı gövdeler ağırlığa göre eşlendi: 235068_AF0 → 235068, 235081_AF1 → 235081.</t>
  </si>
  <si>
    <t>ST52 ihtiyaç listesindeki (Excel) birim ağırlık 34,2 kg; resimde 27,6 kg.</t>
  </si>
  <si>
    <t>STEP'te 3 modellenmiş kaynak gövdesi var (FILLET_WELD_ID_145, FILLET_WELD_ID_1554, FILLET_WELD_ID_491); parça sayılmadı.</t>
  </si>
  <si>
    <t>Dikdörtgen profil parça + tampon sacı, çevresel köşe 4.</t>
  </si>
  <si>
    <t>Ø63,5 boru + bükümlü taşıma sacı, a3.</t>
  </si>
  <si>
    <t>ST52 ihtiyaç listesindeki (Excel) birim ağırlık 0,1 kg; resimde 0,8 kg.</t>
  </si>
  <si>
    <t>Koruma sacı (2 büküm) + 2 takviye, kesikli a4 20×6.</t>
  </si>
  <si>
    <t>Koruma sacı (bükümlü) + 2 takviye, kesikli 3×15 (10 ad) ×2.</t>
  </si>
  <si>
    <t>ST52 ihtiyaç listesindeki (Excel) birim ağırlık 7,3 kg; resimde 5,7 kg.</t>
  </si>
  <si>
    <t>U sac (2 büküm) + destek sacı; sembol yok.</t>
  </si>
  <si>
    <t>ST52 ihtiyaç listesindeki (Excel) birim ağırlık 2,7 kg; resimde 2,1 kg.</t>
  </si>
  <si>
    <t>Satın alma kelepçe (H411.00040) 20 mm altlık sacına kaynaklı; sembol yok, yüzey bilgisi yok.</t>
  </si>
  <si>
    <t>ST52 ihtiyaç listesindeki (Excel) birim ağırlık 3,5 kg; resimde 5,6 kg.</t>
  </si>
  <si>
    <t>Koruma sacı (flanş büküm) + takviye, kesikli 3×15 (12 ad). Parça listesi metni üst üste basılmış; değerler görselden okundu.</t>
  </si>
  <si>
    <t>ST52 ihtiyaç listesindeki (Excel) birim ağırlık 4,9 kg; resimde 3,9 kg.</t>
  </si>
  <si>
    <t>Koruma sacı (flanş büküm) + takviye, kesikli 3×60 (3 ad) ve a3.</t>
  </si>
  <si>
    <t>ST52 ihtiyaç listesindeki (Excel) birim ağırlık 7,0 kg; resimde 5,5 kg.</t>
  </si>
  <si>
    <t>Kaide sacı (1 büküm) + 2 takviye, köşe 8 (226280 ≈ 103626 tipi).</t>
  </si>
  <si>
    <t>ST52 ihtiyaç listesindeki (Excel) birim ağırlık 5,9 kg; resimde 4,8 kg.</t>
  </si>
  <si>
    <t>Askı takozu: mil bloğa iki taraftan çevresel a5 (askı ailesindeki 475037/232731 takozuyla aynı tip).</t>
  </si>
  <si>
    <t>122681'in aynası (sol); a6.</t>
  </si>
  <si>
    <t>Parça listesindeki H900.00266 M14 somunlar STEP modelinde yok; kaynak somunu ise punta süresi eksik kalır.</t>
  </si>
  <si>
    <t>Eski resim formatı; payanda 700MC.</t>
  </si>
  <si>
    <t xml:space="preserve">Parça listesi uyuşmuyor. Resimde olup modelde olmayan: H900.00266 (poz 5). </t>
  </si>
  <si>
    <t>ST52 ihtiyaç listesindeki (Excel) birim ağırlık 27,0 kg; resimde 21,3 kg.</t>
  </si>
  <si>
    <t>Resim: a8 iki taraflı.</t>
  </si>
  <si>
    <t>ST52 ihtiyaç listesindeki (Excel) birim ağırlık 12,2 kg; resimde 8,3 kg.</t>
  </si>
  <si>
    <t>STEP'te 2 modellenmiş kaynak gövdesi var (FILLET_WELD_ID_598, GROOVE_WELD_ID_103); parça sayılmadı.</t>
  </si>
  <si>
    <t>U sac (2 büküm) + 2 ayak sacı, a5.</t>
  </si>
  <si>
    <t>Bükümlü Ø63,5 boru (boru bükme) + flanş sacı a4; döküm topuz "punta atılacak, montajda kaynatılacak" (punta).</t>
  </si>
  <si>
    <t>ST52 ihtiyaç listesindeki (Excel) birim ağırlık 0,8 kg; resimde 6,4 kg.</t>
  </si>
  <si>
    <t>U sac (2 büküm) + destek sacı; sembol yok (215629 ile aynı tip).</t>
  </si>
  <si>
    <t>ST52 ihtiyaç listesindeki (Excel) birim ağırlık 3,1 kg; resimde 2,4 kg.</t>
  </si>
  <si>
    <t>U sac (2 büküm) + 2 ayak sacı, a5 (235221 ailesi).</t>
  </si>
  <si>
    <t>ST52 ihtiyaç listesindeki (Excel) birim ağırlık 1,8 kg; resimde 1,5 kg.</t>
  </si>
  <si>
    <t>Bükümlü üst sac + taban sacı + 2 ayak sacı, a5.</t>
  </si>
  <si>
    <t>ST52 ihtiyaç listesindeki (Excel) birim ağırlık 12,0 kg; resimde 9,6 kg.</t>
  </si>
  <si>
    <t>STEP'te 7 modellenmiş kaynak gövdesi var (FILLET_WELD_ID_1060, FILLET_WELD_ID_1582, FILLET_WELD_ID_1980, FILLET_WELD_ID_2152, FILLET_WELD_ID_2779, FILLET_WELD_ID_); parça sayılmadı.</t>
  </si>
  <si>
    <t>Tampon ayarlı montaj (117715, 16,58 kg, ayrı resim) + 5 adet kazan tampon sacı, a5. Alt montajın kendi kaynakları hesaba katılmadı. Kataforez.</t>
  </si>
  <si>
    <t>ST52 ihtiyaç listesindeki (Excel) birim ağırlık 4,0 kg; resimde 19,8 kg.</t>
  </si>
  <si>
    <t>U sac (2 büküm) + 2 yan kapak, a5.</t>
  </si>
  <si>
    <t>ST52 ihtiyaç listesindeki (Excel) birim ağırlık 1,8 kg; resimde 1,4 kg.</t>
  </si>
  <si>
    <t>Koruma sacı (bükümlü) + 2 takviye; kesikli a3 "40x9".</t>
  </si>
  <si>
    <t>ST52 ihtiyaç listesindeki (Excel) birim ağırlık 6,6 kg; resimde 5,2 kg.</t>
  </si>
  <si>
    <t>Koruma sacı (flanş büküm) + takviye; kesikli 3×35 (5 ad) ×2.</t>
  </si>
  <si>
    <t>ST52 ihtiyaç listesindeki (Excel) birim ağırlık 5,7 kg; resimde 4,5 kg.</t>
  </si>
  <si>
    <t>Koruma sacı (flanş büküm) + takviye; kesikli 3×35 (resimde "35 Ad." ve "5 Ad." yazıyor).</t>
  </si>
  <si>
    <t>ST52 ihtiyaç listesindeki (Excel) birim ağırlık 6,9 kg; resimde 5,5 kg.</t>
  </si>
  <si>
    <t>İki sac arasında boru + 2 ara sac; köşe 6 ve 3.</t>
  </si>
  <si>
    <t>ST52 ihtiyaç listesindeki (Excel) birim ağırlık 1,3 kg; resimde 1,6 kg.</t>
  </si>
  <si>
    <t>Su pompası sehpası: taban + dikme sac + 2 üçgen takviye + lama; köşe 6, 10, 4.</t>
  </si>
  <si>
    <t>ST52 ihtiyaç listesindeki (Excel) birim ağırlık 7,7 kg; resimde 6,3 kg.</t>
  </si>
  <si>
    <t>Bom valfi bağlantı sacları + 2 bayrak takviye, a4.</t>
  </si>
  <si>
    <t>ST52 ihtiyaç listesindeki (Excel) birim ağırlık 8,7 kg; resimde 6,9 kg.</t>
  </si>
  <si>
    <t>Resim: a4 köşe dikişleri.</t>
  </si>
  <si>
    <t>Parça listesi (5 poz, 6 adet) modelle aynı.</t>
  </si>
  <si>
    <t>STEP'te 7 modellenmiş kaynak gövdesi var (FILLET_WELD_ID_1065, FILLET_WELD_ID_1215, FILLET_WELD_ID_1652, FILLET_WELD_ID_1918, FILLET_WELD_ID_2184, FILLET_WELD_ID_); parça sayılmadı.</t>
  </si>
  <si>
    <t>Merdiven taşıma sacı (1 büküm) + 2 feder, a4.</t>
  </si>
  <si>
    <t>ST52 ihtiyaç listesindeki (Excel) birim ağırlık 8,3 kg; resimde 6,6 kg.</t>
  </si>
  <si>
    <t>Kutu profil 80×80 + bağlantı sacı, çevresel köşe 5.</t>
  </si>
  <si>
    <t>ST52 ihtiyaç listesindeki (Excel) birim ağırlık 2,1 kg; resimde 3,3 kg.</t>
  </si>
  <si>
    <t>Hortum sarma: Ø16×2 bükümlü boru halka + 4 bükümlü kol + 4 mm sac, köşe 2 (hesapta a4 hızı). Boru bükümleri abkant süresiyle hesaplandı.</t>
  </si>
  <si>
    <t>ST52 ihtiyaç listesindeki (Excel) birim ağırlık 0,9 kg; resimde 2,6 kg.</t>
  </si>
  <si>
    <t>Resim: kesikli 4×40 (4 ad) ×3, 4×50 (5 ad) ve a4 köşe ×2 → toplam ≈ 850 mm a4. Dikiş boyları bu toplama ölçeklendi.</t>
  </si>
  <si>
    <t>Model ile resim listesi ağırlığı farklı: poz 1 (284250) +58%.</t>
  </si>
  <si>
    <t>Parça listesi (5 poz, 5 adet) modelle aynı.</t>
  </si>
  <si>
    <t>ST52 ihtiyaç listesindeki (Excel) birim ağırlık 13,0 kg; resimde 7,8 kg.</t>
  </si>
  <si>
    <t>STEP'te 8 modellenmiş kaynak gövdesi var (FILLET_WELD_ID_1586, FILLET_WELD_ID_2223, FILLET_WELD_ID_3534, FILLET_WELD_ID_3979, FILLET_WELD_ID_4447, FILLET_WELD_ID_); parça sayılmadı.</t>
  </si>
  <si>
    <t>Şapka profil sac (4 büküm) + orta takviye, a4 iki taraf.</t>
  </si>
  <si>
    <t>Bükümlü lama (1 büküm) bloğa a6/a5.</t>
  </si>
  <si>
    <t>ST52 ihtiyaç listesindeki (Excel) birim ağırlık 1,8 kg; resimde 1,3 kg.</t>
  </si>
  <si>
    <t>Kutu profil 60×40 L650 + bağlantı sacı (a3 çevre) + uç kapak (a2); 379865 ile aynı tip.</t>
  </si>
  <si>
    <t>ST52 ihtiyaç listesindeki (Excel) birim ağırlık 1,0 kg; resimde 4,3 kg.</t>
  </si>
  <si>
    <t>Kutu profil 40×60 L700 + bağlantı sacı (a3 çevre) + uç kapak (a2).</t>
  </si>
  <si>
    <t>ST52 ihtiyaç listesindeki (Excel) birim ağırlık 1,0 kg; resimde 4,5 kg.</t>
  </si>
  <si>
    <t>Resim: a5 köşe dikişleri.</t>
  </si>
  <si>
    <t>STEP'te adı olmayan/farklı gövdeler ağırlığa göre eşlendi: SOLID → 380289.</t>
  </si>
  <si>
    <t>ST52 ihtiyaç listesindeki (Excel) birim ağırlık 9,8 kg; resimde 7,8 kg.</t>
  </si>
  <si>
    <t>STEP'te 1 modellenmiş kaynak gövdesi var (FILLET_WELD_ID_70); parça sayılmadı.</t>
  </si>
  <si>
    <t>Resim: kesikli 4×20, a5 ×2 ve a4 dikişler; hesapta a5 varsayıldı.</t>
  </si>
  <si>
    <t>ST52 ihtiyaç listesindeki (Excel) birim ağırlık 21,8 kg; resimde 17,3 kg.</t>
  </si>
  <si>
    <t>Kaynak sembolleri net: üst ve arka sac yan saclara a5 kesik köşe dikişi, 4×40 mm (4 parça × 40 mm). Dikiş boyları bu sembollerden alındı.</t>
  </si>
  <si>
    <t>a5 köşe dikişi 3 mm yan sac üzerinde: köşe dikişinde a ≤ 0,7 × t (≈2 mm) önerilir. Sembol a5 mi yoksa başka bir ölçü mü, teyit edilmeli.</t>
  </si>
  <si>
    <t>STEP'teki kaynak gövdeleri dikişin tamamını tek blok olarak modelliyor; kesik dikiş bilgisi sadece resimde.</t>
  </si>
  <si>
    <t>Revizyon F (10.04.2026) STEP ile uyumlu; ana ölçüler 652 / 644 / 650 / 206 modelle aynı.</t>
  </si>
  <si>
    <t>ST52 ihtiyaç listesindeki (Excel) birim ağırlık 23,6 kg; resimde 18,6 kg.</t>
  </si>
  <si>
    <t>STEP'te 2 modellenmiş kaynak gövdesi var (FILLET_WELD_ID_1287, FILLET_WELD_ID_257); parça sayılmadı.</t>
  </si>
  <si>
    <t>Orta askı: uzun lama + 2 uç sacı (T kesit), köşe 6.</t>
  </si>
  <si>
    <t>ST52 ihtiyaç listesindeki (Excel) birim ağırlık 4,2 kg; resimde 3,4 kg.</t>
  </si>
  <si>
    <t>Resim notu: "* METOD KAYNAĞI YAPILACAKTIR". Yüzey kataforez.</t>
  </si>
  <si>
    <t>Parça listesi (6 poz, 7 adet) modelle aynı.</t>
  </si>
  <si>
    <t>ST52 ihtiyaç listesindeki (Excel) birim ağırlık 11,4 kg; resimde 12,2 kg.</t>
  </si>
  <si>
    <t>U sac (2 büküm, h=110) + 2 yan kapak, a5.</t>
  </si>
  <si>
    <t>Spanzet bağlantı: bükümlü sac + 2 kulak + taban sacı; köşe 6 ve 8. EN ISO 5817 (C).</t>
  </si>
  <si>
    <t>ST52 ihtiyaç listesindeki (Excel) birim ağırlık 2,9 kg; resimde 2,3 kg.</t>
  </si>
  <si>
    <t>Kıvrımlı koruma bandı + üst/alt sac; a3 ×20 kesikli. Not: "Deliklerin olduğu yerlerde kaynak olmayacaktır, delik aralarına metot kaynağı yapılacaktır". Resim dosya adı H410.00.00.394275.</t>
  </si>
  <si>
    <t>Antet ağırlığı 0,357 kg, parça listesi toplamı 0,453 kg.</t>
  </si>
  <si>
    <t>ST52 ihtiyaç listesindeki (Excel) birim ağırlık 0,6 kg; resimde 0,4 kg.</t>
  </si>
  <si>
    <t>Kutu profil 60×40 L541 + alt/üst bağlantı sacları + 2 destek; köşe 4, 3, 6. Parça listesi metni üst üste basılmış; değerler görselden okundu.</t>
  </si>
  <si>
    <t>ST52 ihtiyaç listesindeki (Excel) birim ağırlık 2,2 kg; resimde 4,6 kg.</t>
  </si>
  <si>
    <t>Resim notu: "Parçalardaki tırnaklar kesilmeyecektir." Astar epoksi min. 30 µm.</t>
  </si>
  <si>
    <t>Parça listesi (4 poz, 5 adet) modelle aynı.</t>
  </si>
  <si>
    <t>ST52 ihtiyaç listesindeki (Excel) birim ağırlık 23,8 kg; resimde 18,7 kg.</t>
  </si>
  <si>
    <t>Oluk taşıma mafsalı: 2 yan sac + burç + ara saclar, a6 dikişler.</t>
  </si>
  <si>
    <t>ST52 ihtiyaç listesindeki (Excel) birim ağırlık 8,0 kg; resimde 6,7 kg.</t>
  </si>
  <si>
    <t>U sac (2 büküm) + 2 yan sac, a5.</t>
  </si>
  <si>
    <t>ST52 ihtiyaç listesindeki (Excel) birim ağırlık 1,3 kg; resimde 1,1 kg.</t>
  </si>
  <si>
    <t>Satın alma kelepçe + 2 ayak sacı; eski format, sembol ve yüzey bilgisi yok.</t>
  </si>
  <si>
    <t>ST52 ihtiyaç listesindeki (Excel) birim ağırlık 0,7 kg; resimde 3,7 kg.</t>
  </si>
  <si>
    <t>U koruma sacı (2 büküm) flanşa a3. Yüzey: beyaz çinko kaplama → fiyat elle girilecek (kataforez alanı).</t>
  </si>
  <si>
    <t>ST52 ihtiyaç listesindeki (Excel) birim ağırlık 0,3 kg; resimde 0,4 kg.</t>
  </si>
  <si>
    <t>Kutu profil 40x40 + bağlantı sacı (a4 çevre), yarık içi kesikli 3×30 (5 ad), alt kapak a4.</t>
  </si>
  <si>
    <t>ST52 ihtiyaç listesindeki (Excel) birim ağırlık 1,6 kg; resimde 4,1 kg.</t>
  </si>
  <si>
    <t>L braket (1 büküm) + üçgen takviye; sembol yok. Kataforez.</t>
  </si>
  <si>
    <t>Poz 1 (404637) malzemesi ST52; askı milleri 105263 saca kaynatılır.</t>
  </si>
  <si>
    <t>Model ile resim listesi ağırlığı farklı: poz 1 (404637) -5%.</t>
  </si>
  <si>
    <t>ST52 ihtiyaç listesindeki (Excel) birim ağırlık 11,1 kg; resimde 12,2 kg.</t>
  </si>
  <si>
    <t>Flanş sacı + dikdörtgen profil (100982) çevresel; sembol, proses ve yüzey bilgisi yok.</t>
  </si>
  <si>
    <t>ST52 ihtiyaç listesindeki (Excel) birim ağırlık 1,4 kg; resimde 2,4 kg.</t>
  </si>
  <si>
    <t>Merdiven basamak ızgarası: 5 dalgalı şerit + 3 ara sac + 2 kenar, a3; uçlar "kaynak ile doldurulacak ve taşlanacak".</t>
  </si>
  <si>
    <t>ST52 ihtiyaç listesindeki (Excel) birim ağırlık 2,1 kg; resimde 1,6 kg.</t>
  </si>
  <si>
    <t>Lama + bükümlü uç sacı + 2 kısa boru; sembol, proses ve yüzey bilgisi yok. EN ISO 5817 (C).</t>
  </si>
  <si>
    <t>ST52 ihtiyaç listesindeki (Excel) birim ağırlık 0,7 kg; resimde 0,6 kg.</t>
  </si>
  <si>
    <t>Kutu profil 160×80×8 L145 + platform sacı çevresel; sembol, proses ve yüzey bilgisi yok.</t>
  </si>
  <si>
    <t>ST52 ihtiyaç listesindeki (Excel) birim ağırlık 3,5 kg; resimde 6,8 kg.</t>
  </si>
  <si>
    <t>ST52 ihtiyaç listesindeki (Excel) birim ağırlık 24,9 kg; resimde 19,6 kg.</t>
  </si>
  <si>
    <t>437797'nin aynası (sol); kesikli 4×20 (4 ad).</t>
  </si>
  <si>
    <t>ST52 ihtiyaç listesindeki (Excel) birim ağırlık 6,5 kg; resimde 5,1 kg.</t>
  </si>
  <si>
    <t>Bükümlü pano sacı (4 büküm) + bağlantı sacı; kesikli 4×20 (4 ad); "büküm birleşim noktası dışardan kaynatılacak".</t>
  </si>
  <si>
    <t>L sac (1 büküm) + 2 üçgen takviye, a5.</t>
  </si>
  <si>
    <t>L sac (1 büküm) + 2 takviye; kesikli 4×50 (4 ad) ve 4×50 (2 ad).</t>
  </si>
  <si>
    <t>ST52 ihtiyaç listesindeki (Excel) birim ağırlık 3,9 kg; resimde 3,2 kg.</t>
  </si>
  <si>
    <t>L sac (1 büküm) + 2 kavisli takviye; sembol, proses ve yüzey bilgisi yok.</t>
  </si>
  <si>
    <t>ST52 ihtiyaç listesindeki (Excel) birim ağırlık 1,7 kg; resimde 1,4 kg.</t>
  </si>
  <si>
    <t>Resim notu: "Yüzeye paralel kaynatılacaktır, boşluk kalmayacaktır." Astar epoksi min. 30 µm.</t>
  </si>
  <si>
    <t>ST52 ihtiyaç listesindeki (Excel) birim ağırlık 23,1 kg; resimde 18,2 kg.</t>
  </si>
  <si>
    <t>Alt destek sacı (poz 5) için kaynak sembolü yok; 384255'teki a3 dikiş varsayıldı.</t>
  </si>
  <si>
    <t>ST52 ihtiyaç listesindeki (Excel) birim ağırlık 22,6 kg; resimde 17,9 kg.</t>
  </si>
  <si>
    <t>STEP'te 2 modellenmiş kaynak gövdesi var (FILLET_WELD_ID_187, FILLET_WELD_ID_473); parça sayılmadı.</t>
  </si>
  <si>
    <t>ST52 ihtiyaç listesindeki (Excel) birim ağırlık 9,8 kg; resimde 11,2 kg.</t>
  </si>
  <si>
    <t>STEP'te 3 modellenmiş kaynak gövdesi var (FILLET_WELD_ID_6561, GROOVE_WELD_ID_1180, GROOVE_WELD_ID_1899); parça sayılmadı.</t>
  </si>
  <si>
    <t>Dikme sac + üst bağlantı sacı (681073/709898 ailesi); sembol ve yüzey bilgisi yok.</t>
  </si>
  <si>
    <t>ST52 ihtiyaç listesindeki (Excel) birim ağırlık 1,4 kg; resimde 1,1 kg.</t>
  </si>
  <si>
    <t>Ø63,5×5 bükümlü borular (boru bükme) + bağlantı sacları; a5 ve a3. Büküm süresi abkant olarak hesaplandı, boru bükme farklı olabilir.</t>
  </si>
  <si>
    <t>Antet ağırlığı 14,031 kg, parça listesi toplamı 8,705 kg.</t>
  </si>
  <si>
    <t>ST52 ihtiyaç listesindeki (Excel) birim ağırlık 4,0 kg; resimde 14,0 kg.</t>
  </si>
  <si>
    <t>Ø63,5×5 bükümlü boru (boru bükme) iki uçtan sac flanşlara a3.</t>
  </si>
  <si>
    <t>ST52 ihtiyaç listesindeki (Excel) birim ağırlık 1,5 kg; resimde 4,1 kg.</t>
  </si>
  <si>
    <t>Kutu profil 40×40 + taban sacı + kapak, çevresel a4.</t>
  </si>
  <si>
    <t>ST52 ihtiyaç listesindeki (Excel) birim ağırlık 0,5 kg; resimde 0,8 kg.</t>
  </si>
  <si>
    <t>Taban sacı + 2 kulak (553127 ailesi); sembol yok.</t>
  </si>
  <si>
    <t>Kutu profil 60x40; flanş z6 (≈a4), 3 basamak U sacı, uç kapak z3. Rev. B: kataforeze çevrildi (07.08.2026).</t>
  </si>
  <si>
    <t>ST52 ihtiyaç listesindeki (Excel) birim ağırlık 4,9 kg; resimde 8,6 kg.</t>
  </si>
  <si>
    <t>543533'ün aynası (sol): kutu profil + 3 basamak U sacı, z6 (≈a4). Rev. B: kataforeze çevrildi (07.08.2026).</t>
  </si>
  <si>
    <t>Taban sacı + 2 kulak sacı; sembol yok.</t>
  </si>
  <si>
    <t>Resim notu: takozlar sac üzerine "Punta kaynağı yapılacaktır". Dikiş yok.</t>
  </si>
  <si>
    <t>Alt montaj: poz 2 475037 (Aski Sag-Sol Takoz Kaynak Kanalli) STEP'te bileşenleriyle var; ağırlık tutuyor.</t>
  </si>
  <si>
    <t>Köşebent sac (uç kulaklarla) + üçgen sac, iki taraf a3; M12 somunlar sac üstüne punta.</t>
  </si>
  <si>
    <t>Konvertör sehpa sacı (flanş bükümleri) + 2 bağlantı braketi; a5, a3, a6.</t>
  </si>
  <si>
    <t>ST52 ihtiyaç listesindeki (Excel) birim ağırlık 4,8 kg; resimde 3,8 kg.</t>
  </si>
  <si>
    <t>Şapka profil sac (4 büküm) + 2 uç sac, a3/a4 dikişler.</t>
  </si>
  <si>
    <t>ST52 ihtiyaç listesindeki (Excel) birim ağırlık 3,2 kg; resimde 2,6 kg.</t>
  </si>
  <si>
    <t>Model ile resim listesi ağırlığı farklı: poz 1 (602351) -8%.</t>
  </si>
  <si>
    <t>ST52 ihtiyaç listesindeki (Excel) birim ağırlık 12,3 kg; resimde 13,1 kg.</t>
  </si>
  <si>
    <t>Bağlantı sacı + U braket (2 büküm), a4.</t>
  </si>
  <si>
    <t>ST52 ihtiyaç listesindeki (Excel) birim ağırlık 4,2 kg; resimde 3,3 kg.</t>
  </si>
  <si>
    <t>İki 700MC sac arasında Ø40 boru + 2 küçük sac (S235J2N), köşe 6.</t>
  </si>
  <si>
    <t>ST52 ihtiyaç listesindeki (Excel) birim ağırlık 0,1 kg; resimde 1,0 kg.</t>
  </si>
  <si>
    <t>Resimde kaynak sembolü ve not yok; takozlar aile askılarındaki gibi puntalanır varsayıldı.</t>
  </si>
  <si>
    <t>ST52 ihtiyaç listesindeki (Excel) birim ağırlık 12,8 kg; resimde 14,0 kg.</t>
  </si>
  <si>
    <t>Resim notu: "Kaynak ile doldurulacaktır" (dolgu köşeleri). Astar epoksi 50+20 µm.</t>
  </si>
  <si>
    <t>ST52 ihtiyaç listesindeki (Excel) birim ağırlık 16,5 kg; resimde 13,0 kg.</t>
  </si>
  <si>
    <t>Büyük yarıçaplı bükümler silindirde (hadde) şekillendirilir, abkant süresi gerçeği yansıtmayabilir: 677217 R100×50°, 677400 R100×40°.</t>
  </si>
  <si>
    <t>İki dikme sac (kademe büküm) taban sacına a6.</t>
  </si>
  <si>
    <t>ST52 ihtiyaç listesindeki (Excel) birim ağırlık 5,9 kg; resimde 4,6 kg.</t>
  </si>
  <si>
    <t>Resim notu: "Kaynak ile doldurulacaktır". Astar epoksi 50+20 µm.</t>
  </si>
  <si>
    <t>Poz 4 (678440) malzemesi S235J2N; ayna parça 677216'da aynı poz S355J2N. Malzeme teyit edilmeli.</t>
  </si>
  <si>
    <t>Büyük yarıçaplı bükümler silindirde (hadde) şekillendirilir, abkant süresi gerçeği yansıtmayabilir: 678440 R100×40°, 678439 R100×50°.</t>
  </si>
  <si>
    <t>U sac (2 büküm, h=120) + 2 yan kapak, a5 (236288/388529 ailesi).</t>
  </si>
  <si>
    <t>Antet ağırlığı 1,439 kg, parça listesi toplamı 1,647 kg.</t>
  </si>
  <si>
    <t>ST52 ihtiyaç listesindeki (Excel) birim ağırlık 2,4 kg; resimde 1,4 kg.</t>
  </si>
  <si>
    <t>Dikme sac + üst bağlantı sacı; sembol yok. Kaplama satırı boş, epoksi astar.</t>
  </si>
  <si>
    <t>Antet ağırlığı 0,920 kg, parça listesi toplamı 1,148 kg.</t>
  </si>
  <si>
    <t>ST52 ihtiyaç listesindeki (Excel) birim ağırlık 1,4 kg; resimde 0,9 kg.</t>
  </si>
  <si>
    <t>Bükümlü buton sacı + 2 bükümlü braket, a3.</t>
  </si>
  <si>
    <t>ST52 ihtiyaç listesindeki (Excel) birim ağırlık 2,6 kg; resimde 2,1 kg.</t>
  </si>
  <si>
    <t>681786'nın aynası (sağ), a3.</t>
  </si>
  <si>
    <t>Taban sacı + 2 dikme sac, a6 (678363 ailesi). Dikmeler S355J2G3.</t>
  </si>
  <si>
    <t>ST52 ihtiyaç listesindeki (Excel) birim ağırlık 5,8 kg; resimde 4,6 kg.</t>
  </si>
  <si>
    <t>Antet ağırlığı 12,151 kg, parça listesi toplamı 15,48 kg; model 15,5 kg. Antet ağırlığı hatalı (404630'dan kopya olabilir).</t>
  </si>
  <si>
    <t>Askı milleri (105263) saca kaynatılır.</t>
  </si>
  <si>
    <t>ST52 ihtiyaç listesindeki (Excel) birim ağırlık 15,3 kg; resimde 12,2 kg.</t>
  </si>
  <si>
    <t>Kaynak sadece 701333 plakaları ile tampon profili arasında (z8 ≈ a6). Profil iç kaynakları alt montajın kendi resmine ait.</t>
  </si>
  <si>
    <t>701333 plakaları S235J2N (ST52 grubu değil).</t>
  </si>
  <si>
    <t>Excel ağırlığı (9,5 kg) yalnız plakalara yakın; profil ayrı tedarik ediliyor olabilir.</t>
  </si>
  <si>
    <t>Alt montaj: poz 1 0893631 (BUMPER TYPE-1) STEP'te bileşenleriyle var; ağırlık tutuyor.</t>
  </si>
  <si>
    <t>Parça listesi (2 poz, 7 adet) modelle aynı.</t>
  </si>
  <si>
    <t>STEP'te adı olmayan/farklı gövdeler ağırlığa göre eşlendi: SOLID → 701333, SOLID → 701333.</t>
  </si>
  <si>
    <t>ST52 ihtiyaç listesindeki (Excel) birim ağırlık 9,5 kg; resimde 39,2 kg.</t>
  </si>
  <si>
    <t>STEP'te 6 modellenmiş kaynak gövdesi var (FILLET_WELD_ID_1267, FILLET_WELD_ID_286, FILLET_WELD_ID_689, FILLET_WELD_ID_817, GROOVE_WELD_ID_439, GROOVE_WELD_ID_62); parça sayılmadı.</t>
  </si>
  <si>
    <t>Resim: a7 çevresel, iki taraflı.</t>
  </si>
  <si>
    <t>Parça listesi (3 poz, 3 adet) modelle aynı.</t>
  </si>
  <si>
    <t>ST52 ihtiyaç listesindeki (Excel) birim ağırlık 12,7 kg; resimde 10,0 kg.</t>
  </si>
  <si>
    <t>STEP'te 4 modellenmiş kaynak gövdesi var (FILLET_WELD_ID_1393, FILLET_WELD_ID_370, FILLET_WELD_ID_63, FILLET_WELD_ID_685); parça sayılmadı.</t>
  </si>
  <si>
    <t>Kademeli dikme sac + üst bağlantı sacı (681073 ile aynı tip); sembol yok.</t>
  </si>
  <si>
    <t>Antet ağırlığı 0,920 kg, parça listesi toplamı 1,054 kg.</t>
  </si>
  <si>
    <t>Bükümlü spanzet sacı (2 büküm) + 2 kulak; sembol ve yüzey bilgisi yok (1254954'te alt montaj).</t>
  </si>
  <si>
    <t>ST52 ihtiyaç listesindeki (Excel) birim ağırlık 2,2 kg; resimde 1,7 kg.</t>
  </si>
  <si>
    <t>Proses MONTAJ: 713971 kaynaklı alt montaj (13,19 kg) + 716923 kelepçe tutucu + 716920 sac, cıvatalarla birleşir. Bu resimde kaynak yok; 713971'in kaynak resmi listede yok, kaynak süresi hesaba girmedi. Antet 17,968 kg.</t>
  </si>
  <si>
    <t>ST52 ihtiyaç listesindeki (Excel) birim ağırlık 1,5 kg; resimde 18,0 kg.</t>
  </si>
  <si>
    <t>Resim: a3 çevresel köşe dikişi (hesapta a4 hızı).</t>
  </si>
  <si>
    <t>STEP'te adı olmayan/farklı gövdeler ağırlığa göre eşlendi: 722934_AF0 → 722934, 205660_AF0 → 205660, 205660_AF1 → 205660, 205660_AF2 → 205660, 205660_AF3 → 205660.</t>
  </si>
  <si>
    <t>İki kutu profil 100×50 (T birleşim) + bükümlü taban sacı + 2 kavisli takviye + kapak; sembol yok. Taban ve takviyeler 700QL (yüksek mukavemet).</t>
  </si>
  <si>
    <t>ST52 ihtiyaç listesindeki (Excel) birim ağırlık 0,1 kg; resimde 5,2 kg.</t>
  </si>
  <si>
    <t>Kaynaklı ST52 grubu — sac maliyeti özeti (güncelleme 31.10.2026)</t>
  </si>
  <si>
    <t>Her satır Parça Detay sayfasından SUMIFS ile toplanır; fiyatlar Parametreler sayfasından. İhtiyaç adedi STEP/parça listesinden alındı (mavi, değiştirilebilir).</t>
  </si>
  <si>
    <t>Sarı satırlar: STEP modeli olmayan ürünler – sac alanı teknik resimdeki parça ağırlıklarından, fire oranı STEP'li ürünlerdeki ölçülen ortalamadan tahmin edildi (Parametreler sayfasında değiştirilebilir). Bu ürünler için HTML yok.</t>
  </si>
  <si>
    <t>Ürün kodu</t>
  </si>
  <si>
    <t>Ürün adı</t>
  </si>
  <si>
    <t>Rev</t>
  </si>
  <si>
    <t>İhtiyaç adedi</t>
  </si>
  <si>
    <t>Sac parça çeşidi</t>
  </si>
  <si>
    <t>Sac parça adedi / ürün</t>
  </si>
  <si>
    <t>Net alan (m²)</t>
  </si>
  <si>
    <t>Brüt dikdörtgen (m²)</t>
  </si>
  <si>
    <t>Fire alan (m²)</t>
  </si>
  <si>
    <t>Fire oranı</t>
  </si>
  <si>
    <t>Net sac (kg)</t>
  </si>
  <si>
    <t>Sac maliyeti / ürün (€)</t>
  </si>
  <si>
    <t>Sac maliyeti × adet (€)</t>
  </si>
  <si>
    <t>Hesap dışı parça adedi</t>
  </si>
  <si>
    <t>Görsel (HTML)</t>
  </si>
  <si>
    <t>Önceki maliyet / ürün (€) [20.10]</t>
  </si>
  <si>
    <t>Fark (€)</t>
  </si>
  <si>
    <t>Güncelleme 31.10.2026 (gerekçe)</t>
  </si>
  <si>
    <t>Hardox 450 içerir; sac dışı: Ara boru Ø38×Ø30,8 L50</t>
  </si>
  <si>
    <t>0905896: EKLENDİ. 1204097 alt montajının sacı (0905896, 5 mm, 6,37 kg) parça listesinde '—' göründüğü için önceki hesapta dışarıda kalmıştı; STEP modelinde mevcut, açınımı modelden alındı (1166×140 mm).</t>
  </si>
  <si>
    <t>çok yönlü büküm; sac dışı: Kazan Yaglama Takozu</t>
  </si>
  <si>
    <t>çok yönlü büküm</t>
  </si>
  <si>
    <t>sac dışı: Aski Sag-Sol Takoz Kaynak Ka</t>
  </si>
  <si>
    <t xml:space="preserve">sac dışı: H51-ABD-SAĞ SOL TAKOZ KANAL </t>
  </si>
  <si>
    <t>sac dışı: BAGLANTI KOLU BORUSU</t>
  </si>
  <si>
    <t>sac dışı: ASKI MİLİ 135mm</t>
  </si>
  <si>
    <t>105139: Betonstar DXF kesim dosyasına göre güncellendi. Eski 189×178 mm (STEP'te 8×45° pah işlenmiş yüzeyden ölçülmüştü), kesim ölçüsü 197×178 mm; net alan DXF konturundan.</t>
  </si>
  <si>
    <t>234462: Betonstar DXF kesim dosyasına göre güncellendi. Eski 189×154 mm (STEP'te 8×45° pah işlenmiş yüzeyden ölçülmüştü), kesim ölçüsü 197×154 mm; net alan DXF konturundan.</t>
  </si>
  <si>
    <t>108023: Betonstar DXF kesim dosyasına göre güncellendi. Eski 189×140 mm (STEP'te 8×45° pah işlenmiş yüzeyden ölçülmüştü), kesim ölçüsü 197×140 mm; net alan DXF konturundan.</t>
  </si>
  <si>
    <t>109019: Betonstar DXF kesim dosyasına göre güncellendi. Eski 182×148 mm (STEP'te 8×45° pah işlenmiş yüzeyden ölçülmüştü), kesim ölçüsü 190×148 mm; net alan DXF konturundan.</t>
  </si>
  <si>
    <t>8 parça tahmini</t>
  </si>
  <si>
    <t>önceki çalışma</t>
  </si>
  <si>
    <t>STEP yok – resim ağırlıkları + ortalama fire oranıyla tahmin; 5 parça STEP'li üründen ölçüm</t>
  </si>
  <si>
    <t>STEP yok</t>
  </si>
  <si>
    <t>STEP yok – resim ağırlıkları + ortalama fire oranıyla tahmin</t>
  </si>
  <si>
    <t>100425: Betonstar DXF (232486 klasörü) ile güncellendi: 220×140 mm, net 0.0298 m². Önceki tahmin fire %18 → gerçek %3.3.</t>
  </si>
  <si>
    <t>0905896: 1204097 bu klasörde 0905890'ın alt montajı olarak çıktı; sacı 0905890 STEP modelinde bulundu ve açıldı: 1166×140 mm, 4 büküm. Önceki tahmin (düz, fire %42) → gerçek fire %0.6.</t>
  </si>
  <si>
    <t>213355: Betonstar DXF (217564 klasörü) ile güncellendi: 300×45 mm, net 0.0085 m². Önceki tahmin fire %18 → gerçek %36.8 (yamuk parça).</t>
  </si>
  <si>
    <t>STEP yok – resim ağırlıkları + ortalama fire oranıyla tahmin; 1 parça STEP'li üründen ölçüm</t>
  </si>
  <si>
    <t>STEP yok – resim ağırlıkları + ortalama fire oranıyla tahmin; 3 parça STEP'li üründen ölçüm</t>
  </si>
  <si>
    <t>Toplam satırında N sütunu: ihtiyaç adedine göre ağırlıklı ortalama ürün maliyeti.</t>
  </si>
  <si>
    <t>Toplam ihtiyaç için: brüt sac (kg)</t>
  </si>
  <si>
    <t>Toplam ihtiyaç için: hurda (kg)</t>
  </si>
  <si>
    <t>Ara toplam – STEP'li ürünler</t>
  </si>
  <si>
    <t>Ara toplam – STEP olmayan (tahmini)</t>
  </si>
  <si>
    <t>Açıklama</t>
  </si>
  <si>
    <t>Malzeme</t>
  </si>
  <si>
    <t>Kalınlık (mm)</t>
  </si>
  <si>
    <t>Adet / ürün</t>
  </si>
  <si>
    <t>Açınım yöntemi</t>
  </si>
  <si>
    <t>Dikdörtgen boy (mm)</t>
  </si>
  <si>
    <t>Dikdörtgen en (mm)</t>
  </si>
  <si>
    <t>İç boşluklar (m²)</t>
  </si>
  <si>
    <t>Dikdörtgen alan (m²)</t>
  </si>
  <si>
    <t>Sac (€/m²)</t>
  </si>
  <si>
    <t>Hurda (€/m²)</t>
  </si>
  <si>
    <t>Maliyet / adet (€)</t>
  </si>
  <si>
    <t>Maliyet / ürün (€)</t>
  </si>
  <si>
    <t>Net ağırlık / ürün (kg)</t>
  </si>
  <si>
    <t>Fire ağırlık / ürün (kg)</t>
  </si>
  <si>
    <t>Brüt sac / ürün (kg)</t>
  </si>
  <si>
    <t>681193</t>
  </si>
  <si>
    <t>Izgara laması (Hardox 450)</t>
  </si>
  <si>
    <t>Hardox 450</t>
  </si>
  <si>
    <t>Düz sac – kesin</t>
  </si>
  <si>
    <t>ST52</t>
  </si>
  <si>
    <t>Bükümlü – profil açınımı (K=0,5) – 1 büküm</t>
  </si>
  <si>
    <t>Bükümlü – profil açınımı (K=0,5) – 4 büküm</t>
  </si>
  <si>
    <t>655959</t>
  </si>
  <si>
    <t>Vibratör sacı</t>
  </si>
  <si>
    <t>0913350</t>
  </si>
  <si>
    <t>Yan sac (Y gövde)</t>
  </si>
  <si>
    <t>0913351</t>
  </si>
  <si>
    <t>Bükümlü – profil açınımı (K=0,5) – 2 büküm</t>
  </si>
  <si>
    <t>105273</t>
  </si>
  <si>
    <t>Arka bom desteği poz 1 (taban)</t>
  </si>
  <si>
    <t>0905892</t>
  </si>
  <si>
    <t>0905893</t>
  </si>
  <si>
    <t>ARKA BOM DESTEĞİ POZ 1</t>
  </si>
  <si>
    <t>Sac:5mm (1204097 Kaynak Somunu-Sac Bağlantısı alt montajı)</t>
  </si>
  <si>
    <t>31.10.2026: EKLENDİ. 1204097 alt montajının sacı (0905896, 5 mm, 6,37 kg) parça listesinde '—' göründüğü için önceki hesapta dışarıda kalmıştı; STEP modelinde mevcut, açınımı modelden alındı (1166×140 mm).</t>
  </si>
  <si>
    <t>Bükümlü – profil açınımı (K=0,5) – 6 büküm</t>
  </si>
  <si>
    <t>0896252</t>
  </si>
  <si>
    <t>0896257</t>
  </si>
  <si>
    <t>ARKA BOM DESTE POZ 1</t>
  </si>
  <si>
    <t>1254969</t>
  </si>
  <si>
    <t>1254970</t>
  </si>
  <si>
    <t>710675</t>
  </si>
  <si>
    <t>Bükümlü – profil açınımı (K=0,5) – 3 büküm</t>
  </si>
  <si>
    <t>Bükümlü (çok yönlü) – yüzey açınımı (K=0,5) – 3 büküm</t>
  </si>
  <si>
    <t>224792</t>
  </si>
  <si>
    <t>SALINCAK SACI</t>
  </si>
  <si>
    <t>224796</t>
  </si>
  <si>
    <t>IZGARA DURDURMA SACI</t>
  </si>
  <si>
    <t>118143</t>
  </si>
  <si>
    <t>109203</t>
  </si>
  <si>
    <t>1002x883x5</t>
  </si>
  <si>
    <t>109206</t>
  </si>
  <si>
    <t>0893633</t>
  </si>
  <si>
    <t>0893634</t>
  </si>
  <si>
    <t>701333</t>
  </si>
  <si>
    <t>103117</t>
  </si>
  <si>
    <t>125 HD sacı (taban, 15 mm)</t>
  </si>
  <si>
    <t>103118</t>
  </si>
  <si>
    <t>Üçgen takviye</t>
  </si>
  <si>
    <t>105658</t>
  </si>
  <si>
    <t>105773</t>
  </si>
  <si>
    <t>180 HD SACI</t>
  </si>
  <si>
    <t>235081</t>
  </si>
  <si>
    <t>ARA ŞANZIMAN SALINCAĞI SAĞ-SOL</t>
  </si>
  <si>
    <t>111835</t>
  </si>
  <si>
    <t>G64 ARA ŞANZUMAN SALINCAĞI POZ-4</t>
  </si>
  <si>
    <t>109360</t>
  </si>
  <si>
    <t>ARA ŞANZIMAN SALINCAĞI SAĞ-SOL POZ-2</t>
  </si>
  <si>
    <t>110535</t>
  </si>
  <si>
    <t>100904</t>
  </si>
  <si>
    <t>1057077</t>
  </si>
  <si>
    <t>1091738</t>
  </si>
  <si>
    <t>181728</t>
  </si>
  <si>
    <t>181732</t>
  </si>
  <si>
    <t>105756</t>
  </si>
  <si>
    <t>105757</t>
  </si>
  <si>
    <t>AROCS POZ 4</t>
  </si>
  <si>
    <t>224319</t>
  </si>
  <si>
    <t>H51_5RZ Payanda Poz-4</t>
  </si>
  <si>
    <t>234402</t>
  </si>
  <si>
    <t>H51 Ön Bom Desteği Poz-3</t>
  </si>
  <si>
    <t>234403</t>
  </si>
  <si>
    <t>H51 Ön Bom Desteği Poz-4</t>
  </si>
  <si>
    <t>435621</t>
  </si>
  <si>
    <t>Ara travers Sac 1</t>
  </si>
  <si>
    <t>435624</t>
  </si>
  <si>
    <t>Ara travers Sac 3</t>
  </si>
  <si>
    <t>435626</t>
  </si>
  <si>
    <t>Ara travers Sac 4</t>
  </si>
  <si>
    <t>1251901</t>
  </si>
  <si>
    <t>1276058</t>
  </si>
  <si>
    <t>395389</t>
  </si>
  <si>
    <t>ÖN BOM DESTEK SAC 1</t>
  </si>
  <si>
    <t>417649</t>
  </si>
  <si>
    <t>417650</t>
  </si>
  <si>
    <t>Bükümlü (çok yönlü) – yüzey açınımı (K=0,5) – 4 büküm</t>
  </si>
  <si>
    <t>205660</t>
  </si>
  <si>
    <t>SU TANKI SEHPASI PARÇASI 205660</t>
  </si>
  <si>
    <t>384270</t>
  </si>
  <si>
    <t>Arka sac</t>
  </si>
  <si>
    <t>384271</t>
  </si>
  <si>
    <t>Üst sac</t>
  </si>
  <si>
    <t>475604</t>
  </si>
  <si>
    <t>475605</t>
  </si>
  <si>
    <t>667589</t>
  </si>
  <si>
    <t>H52 Ask Sac</t>
  </si>
  <si>
    <t>1055926</t>
  </si>
  <si>
    <t>672379</t>
  </si>
  <si>
    <t>238339</t>
  </si>
  <si>
    <t>BAGLANTI SACI</t>
  </si>
  <si>
    <t>238324</t>
  </si>
  <si>
    <t>YAN KAPATMA SACI</t>
  </si>
  <si>
    <t>238326</t>
  </si>
  <si>
    <t>KAPATMA SACI</t>
  </si>
  <si>
    <t>238327</t>
  </si>
  <si>
    <t>KAPATMA SACI 2</t>
  </si>
  <si>
    <t>554810</t>
  </si>
  <si>
    <t>H68 - Askı Sacı</t>
  </si>
  <si>
    <t>602351</t>
  </si>
  <si>
    <t>677174</t>
  </si>
  <si>
    <t>677406</t>
  </si>
  <si>
    <t>681039</t>
  </si>
  <si>
    <t>1057083</t>
  </si>
  <si>
    <t>1091751</t>
  </si>
  <si>
    <t>386305</t>
  </si>
  <si>
    <t>TAKOZLUK BAĞLANTISI DESTEK SAC 1</t>
  </si>
  <si>
    <t>386504</t>
  </si>
  <si>
    <t>TAKOZLUK BAĞLANTISI SAC 2</t>
  </si>
  <si>
    <t>386303</t>
  </si>
  <si>
    <t>60X40 PROFİL KAPAK SACI</t>
  </si>
  <si>
    <t>386508</t>
  </si>
  <si>
    <t>TAKOZLUK BAĞLANTISI DESTEK SAC 2</t>
  </si>
  <si>
    <t>404637</t>
  </si>
  <si>
    <t>694389</t>
  </si>
  <si>
    <t>H30.14S SU KUTUSU ASKI SACI</t>
  </si>
  <si>
    <t>105643</t>
  </si>
  <si>
    <t>105139</t>
  </si>
  <si>
    <t>Betonstar DXF kesim dosyası (kesin) – 0 büküm</t>
  </si>
  <si>
    <t>31.10.2026: Betonstar DXF kesim dosyasına göre güncellendi. Eski 189×178 mm (STEP'te 8×45° pah işlenmiş yüzeyden ölçülmüştü), kesim ölçüsü 197×178 mm; net alan DXF konturundan.</t>
  </si>
  <si>
    <t>105141</t>
  </si>
  <si>
    <t>106258</t>
  </si>
  <si>
    <t>Duz sac</t>
  </si>
  <si>
    <t>106248</t>
  </si>
  <si>
    <t>Slotlu duz sac</t>
  </si>
  <si>
    <t>105660</t>
  </si>
  <si>
    <t>H47-5 ELEKTRİK PANO SEHPA SACI BAYRAK 1</t>
  </si>
  <si>
    <t>105670</t>
  </si>
  <si>
    <t>H47-5 ELEKTRİK PANO SEHPA SACI BAYRAK 2</t>
  </si>
  <si>
    <t>105671</t>
  </si>
  <si>
    <t>H47-5 ELEKTRİK PANO SEHPA SACI BAYRAK 3</t>
  </si>
  <si>
    <t>Bükümlü (çok yönlü) – yüzey açınımı (K=0,5) – 2 büküm</t>
  </si>
  <si>
    <t>707781</t>
  </si>
  <si>
    <t>372x51.5x8</t>
  </si>
  <si>
    <t>235748</t>
  </si>
  <si>
    <t>H51 ELEKTRIK PANO SEHPA SACI BAYRAK-1</t>
  </si>
  <si>
    <t>235749</t>
  </si>
  <si>
    <t>H51 ELEKTRIK PANO SEHPA SACI BAYRAK-2</t>
  </si>
  <si>
    <t>235750</t>
  </si>
  <si>
    <t>H51 ELEKTRIK PANO SEHPA SACI BAYRAK-3</t>
  </si>
  <si>
    <t>1251582</t>
  </si>
  <si>
    <t>1251574</t>
  </si>
  <si>
    <t>1251584</t>
  </si>
  <si>
    <t>1276140</t>
  </si>
  <si>
    <t>1276139</t>
  </si>
  <si>
    <t>1276461</t>
  </si>
  <si>
    <t>1276465</t>
  </si>
  <si>
    <t>1276463</t>
  </si>
  <si>
    <t>1276467</t>
  </si>
  <si>
    <t>234462</t>
  </si>
  <si>
    <t>31.10.2026: Betonstar DXF kesim dosyasına göre güncellendi. Eski 189×154 mm (STEP'te 8×45° pah işlenmiş yüzeyden ölçülmüştü), kesim ölçüsü 197×154 mm; net alan DXF konturundan.</t>
  </si>
  <si>
    <t>234451</t>
  </si>
  <si>
    <t>234461</t>
  </si>
  <si>
    <t>108023</t>
  </si>
  <si>
    <t>31.10.2026: Betonstar DXF kesim dosyasına göre güncellendi. Eski 189×140 mm (STEP'te 8×45° pah işlenmiş yüzeyden ölçülmüştü), kesim ölçüsü 197×140 mm; net alan DXF konturundan.</t>
  </si>
  <si>
    <t>108024</t>
  </si>
  <si>
    <t>108025</t>
  </si>
  <si>
    <t>380291</t>
  </si>
  <si>
    <t>Bom Valf Sehpası P2</t>
  </si>
  <si>
    <t>284251</t>
  </si>
  <si>
    <t>Pano Sehpas Kaynak Sac _284251</t>
  </si>
  <si>
    <t>108525</t>
  </si>
  <si>
    <t>284253</t>
  </si>
  <si>
    <t>Pano Sehpas Kaynak Montaj Sac _284253</t>
  </si>
  <si>
    <t>773759</t>
  </si>
  <si>
    <t>108524</t>
  </si>
  <si>
    <t>408430</t>
  </si>
  <si>
    <t>108526</t>
  </si>
  <si>
    <t>109019</t>
  </si>
  <si>
    <t>31.10.2026: Betonstar DXF kesim dosyasına göre güncellendi. Eski 182×148 mm (STEP'te 8×45° pah işlenmiş yüzeyden ölçülmüştü), kesim ölçüsü 190×148 mm; net alan DXF konturundan.</t>
  </si>
  <si>
    <t>109021</t>
  </si>
  <si>
    <t>109020</t>
  </si>
  <si>
    <t>1098451</t>
  </si>
  <si>
    <t>1098452</t>
  </si>
  <si>
    <t>110064</t>
  </si>
  <si>
    <t>110069</t>
  </si>
  <si>
    <t>110065</t>
  </si>
  <si>
    <t>117779</t>
  </si>
  <si>
    <t>112573</t>
  </si>
  <si>
    <t>112583</t>
  </si>
  <si>
    <t>114235</t>
  </si>
  <si>
    <t>SOLID</t>
  </si>
  <si>
    <t>TAHMİNİ – izdüşüm, net=hacim/t</t>
  </si>
  <si>
    <t>SHELL</t>
  </si>
  <si>
    <t>1163379</t>
  </si>
  <si>
    <t>1417814</t>
  </si>
  <si>
    <t>KAZAN TAMPON SACI</t>
  </si>
  <si>
    <t>STEP YOK – aynı parça STEP'li üründen ölçüldü</t>
  </si>
  <si>
    <t>716920</t>
  </si>
  <si>
    <t>210x188x6 sac</t>
  </si>
  <si>
    <t>STEP YOK – tahmini: resim ağırlığı, düz &lt;5 kg fire oranı</t>
  </si>
  <si>
    <t>543382</t>
  </si>
  <si>
    <t>543389</t>
  </si>
  <si>
    <t>543700</t>
  </si>
  <si>
    <t>STEP YOK – tahmini: resim ağırlığı, bükümlü fire oranı (2 büküm)</t>
  </si>
  <si>
    <t>112669</t>
  </si>
  <si>
    <t>MERDİVEN BASAMAK PARÇASI 112669</t>
  </si>
  <si>
    <t>120270</t>
  </si>
  <si>
    <t>280x120x6</t>
  </si>
  <si>
    <t>120271</t>
  </si>
  <si>
    <t>280x140x6</t>
  </si>
  <si>
    <t>120272</t>
  </si>
  <si>
    <t>140x63x6</t>
  </si>
  <si>
    <t>120274</t>
  </si>
  <si>
    <t>80x63x6</t>
  </si>
  <si>
    <t>120275</t>
  </si>
  <si>
    <t>125x63x6</t>
  </si>
  <si>
    <t>149763</t>
  </si>
  <si>
    <t>BRAKET TABAN SACI</t>
  </si>
  <si>
    <t>149773</t>
  </si>
  <si>
    <t>BRAKET ARA DESTEK SACI</t>
  </si>
  <si>
    <t>114242</t>
  </si>
  <si>
    <t>PROFİL BAĞLANTI SACI</t>
  </si>
  <si>
    <t>STEP YOK – tahmini: resim ağırlığı, bükümlü fire oranı (1 büküm)</t>
  </si>
  <si>
    <t>238137</t>
  </si>
  <si>
    <t>H51 Bom Valfi Baglanti Bayrak 2</t>
  </si>
  <si>
    <t>238140</t>
  </si>
  <si>
    <t>H51 Bom Valfi Baglanti Bayrak 1</t>
  </si>
  <si>
    <t>100425</t>
  </si>
  <si>
    <t>Platform Sacı</t>
  </si>
  <si>
    <t>STEP YOK – Betonstar DXF kesim dosyası (kesin)</t>
  </si>
  <si>
    <t>31.10.2026: Betonstar DXF (232486 klasörü) ile güncellendi: 220×140 mm, net 0.0298 m². Önceki tahmin fire %18 → gerçek %3.3.</t>
  </si>
  <si>
    <t>113489</t>
  </si>
  <si>
    <t>396656</t>
  </si>
  <si>
    <t>OLUK TAŞIMA MAFSAL SAC 1</t>
  </si>
  <si>
    <t>396657</t>
  </si>
  <si>
    <t>OLUK TAŞIMA MAFSAL SAC 2</t>
  </si>
  <si>
    <t>396660</t>
  </si>
  <si>
    <t>OLUK TAŞIMA MAFSAL SAC 3</t>
  </si>
  <si>
    <t>396663</t>
  </si>
  <si>
    <t>OLUK TAŞIMA MAFSAL SAC 4</t>
  </si>
  <si>
    <t>396664</t>
  </si>
  <si>
    <t>OLUK TAŞIMA MAFSAL SAC 5</t>
  </si>
  <si>
    <t>241106</t>
  </si>
  <si>
    <t>Merdiven Taşıma Sacı Federi</t>
  </si>
  <si>
    <t>100915</t>
  </si>
  <si>
    <t>Sac ;t= 8mm</t>
  </si>
  <si>
    <t>STEP YOK – Alt montaj sacı – 0905890 STEP modelinden açıldı – 4 büküm</t>
  </si>
  <si>
    <t>31.10.2026: 1204097 bu klasörde 0905890'ın alt montajı olarak çıktı; sacı 0905890 STEP modelinde bulundu ve açıldı: 1166×140 mm, 4 büküm. Önceki tahmin (düz, fire %42) → gerçek fire %0.6.</t>
  </si>
  <si>
    <t>648238</t>
  </si>
  <si>
    <t>648252</t>
  </si>
  <si>
    <t>648253</t>
  </si>
  <si>
    <t>238037</t>
  </si>
  <si>
    <t>Su Pompası Sehbası Sacı-1</t>
  </si>
  <si>
    <t>238044</t>
  </si>
  <si>
    <t>Su Pompası Sehbası Sacı-2</t>
  </si>
  <si>
    <t>238045</t>
  </si>
  <si>
    <t>Su Pompası Sehbası Sacı-3</t>
  </si>
  <si>
    <t>238046</t>
  </si>
  <si>
    <t>Su Pompası Sehbası Sacı-4</t>
  </si>
  <si>
    <t>108756</t>
  </si>
  <si>
    <t>403921</t>
  </si>
  <si>
    <t>110438</t>
  </si>
  <si>
    <t>Sac ; t =6 mm</t>
  </si>
  <si>
    <t>110424</t>
  </si>
  <si>
    <t>110772</t>
  </si>
  <si>
    <t>147780</t>
  </si>
  <si>
    <t>H58_4_BOM_DESTEK_BAGLANTI_PARCASI_2</t>
  </si>
  <si>
    <t>110210</t>
  </si>
  <si>
    <t>H58_4_BOM_DESTEK_BAGLANTI_PARCASI_1</t>
  </si>
  <si>
    <t>108758</t>
  </si>
  <si>
    <t>108758.prt</t>
  </si>
  <si>
    <t>213369</t>
  </si>
  <si>
    <t>H37-H40 MOTOR KORUMA SACI - DIŞ KAYNAKLI-2</t>
  </si>
  <si>
    <t>216694</t>
  </si>
  <si>
    <t>5,5" KELEPÇE ALTLIĞI - BAĞLANTI SACI-2</t>
  </si>
  <si>
    <t>213355</t>
  </si>
  <si>
    <t>H37-H40 MOTOR KORUMA - SASE BAĞLANTI 1-2</t>
  </si>
  <si>
    <t>31.10.2026: Betonstar DXF (217564 klasörü) ile güncellendi: 300×45 mm, net 0.0085 m². Önceki tahmin fire %18 → gerçek %36.8 (yamuk parça).</t>
  </si>
  <si>
    <t>236544</t>
  </si>
  <si>
    <t>SASE BAĞLANTI 1-2</t>
  </si>
  <si>
    <t>103095</t>
  </si>
  <si>
    <t>H52_6RZ KAİDE BORU TUTUCU POZ_2</t>
  </si>
  <si>
    <t>437638</t>
  </si>
  <si>
    <t>771110</t>
  </si>
  <si>
    <t>236539</t>
  </si>
  <si>
    <t>DI KAYNAKLI-2</t>
  </si>
  <si>
    <t>106856</t>
  </si>
  <si>
    <t>STEP YOK – tahmini: resim ağırlığı, bükümlü fire oranı (4 büküm)</t>
  </si>
  <si>
    <t>437791</t>
  </si>
  <si>
    <t>226282</t>
  </si>
  <si>
    <t>h51_k_kelepce_tutucu_p2.prt</t>
  </si>
  <si>
    <t>103625</t>
  </si>
  <si>
    <t>KAİDE BORU TUTUCU FEDER</t>
  </si>
  <si>
    <t>678296</t>
  </si>
  <si>
    <t>Sac ;t= 10mm</t>
  </si>
  <si>
    <t>199183</t>
  </si>
  <si>
    <t>6 KOLLU VALF SACI SAG</t>
  </si>
  <si>
    <t>199182</t>
  </si>
  <si>
    <t>6 KOLLU VALF SACI SOL</t>
  </si>
  <si>
    <t>395098</t>
  </si>
  <si>
    <t>Merdiven bağlantı sacı</t>
  </si>
  <si>
    <t>395371</t>
  </si>
  <si>
    <t>Merdiven bağlantı sacı 2</t>
  </si>
  <si>
    <t>395376</t>
  </si>
  <si>
    <t>Destek sacı</t>
  </si>
  <si>
    <t>395378</t>
  </si>
  <si>
    <t>Merdiven bağlantı sacı 3</t>
  </si>
  <si>
    <t>217831</t>
  </si>
  <si>
    <t>PLATFORM BAGLANTI SAC 1</t>
  </si>
  <si>
    <t>379471</t>
  </si>
  <si>
    <t>PROFİL KAPAK</t>
  </si>
  <si>
    <t>SASE BA LANTI 1-2</t>
  </si>
  <si>
    <t>192577</t>
  </si>
  <si>
    <t>KELEPÇE ALTLI I - BA LANTI SACI</t>
  </si>
  <si>
    <t>543422</t>
  </si>
  <si>
    <t>543393</t>
  </si>
  <si>
    <t>1055993</t>
  </si>
  <si>
    <t>1055993.prt</t>
  </si>
  <si>
    <t>1091743</t>
  </si>
  <si>
    <t>1091743.prt</t>
  </si>
  <si>
    <t>181659</t>
  </si>
  <si>
    <t>181659.prt</t>
  </si>
  <si>
    <t>181719</t>
  </si>
  <si>
    <t>181719.prt</t>
  </si>
  <si>
    <t>110120</t>
  </si>
  <si>
    <t>112617</t>
  </si>
  <si>
    <t>ŞASİ BAĞLANTILI TAMPON Sacı _112617</t>
  </si>
  <si>
    <t>117804</t>
  </si>
  <si>
    <t>117808</t>
  </si>
  <si>
    <t>117809</t>
  </si>
  <si>
    <t>STEP YOK – tahmini: resim ağırlığı, bükümlü fire oranı (6 büküm)</t>
  </si>
  <si>
    <t>1044435</t>
  </si>
  <si>
    <t>1044435.prt</t>
  </si>
  <si>
    <t>1162218</t>
  </si>
  <si>
    <t>1162218.prt</t>
  </si>
  <si>
    <t>KELEPÇE ALTLIĞI - BAĞLANTI SACI</t>
  </si>
  <si>
    <t>H37-H40 MOTOR KORUMA - ŞASE BAĞLANTI 1-2</t>
  </si>
  <si>
    <t>110416</t>
  </si>
  <si>
    <t>Sac t=10</t>
  </si>
  <si>
    <t>1181233</t>
  </si>
  <si>
    <t>H68 PANO TUTUCU SAC-2</t>
  </si>
  <si>
    <t>1255214</t>
  </si>
  <si>
    <t>1255227</t>
  </si>
  <si>
    <t>435664</t>
  </si>
  <si>
    <t>Ara Travers 2 Sac 1</t>
  </si>
  <si>
    <t>1225649</t>
  </si>
  <si>
    <t>1225654</t>
  </si>
  <si>
    <t>112577</t>
  </si>
  <si>
    <t>1239856</t>
  </si>
  <si>
    <t>1239853</t>
  </si>
  <si>
    <t>1239857</t>
  </si>
  <si>
    <t>385717</t>
  </si>
  <si>
    <t>ORTA ASKI SAC 1</t>
  </si>
  <si>
    <t>385723</t>
  </si>
  <si>
    <t>ORTA ASKI SAC 2</t>
  </si>
  <si>
    <t>240999</t>
  </si>
  <si>
    <t>Baglantı Sacı</t>
  </si>
  <si>
    <t>603800</t>
  </si>
  <si>
    <t>106249</t>
  </si>
  <si>
    <t>213349</t>
  </si>
  <si>
    <t>448621</t>
  </si>
  <si>
    <t>1298459</t>
  </si>
  <si>
    <t>1298490</t>
  </si>
  <si>
    <t>1152561</t>
  </si>
  <si>
    <t>106254</t>
  </si>
  <si>
    <t>106941</t>
  </si>
  <si>
    <t>Sac ;t=10mm</t>
  </si>
  <si>
    <t>121804</t>
  </si>
  <si>
    <t>Sac; t=4mm</t>
  </si>
  <si>
    <t>108545</t>
  </si>
  <si>
    <t>108545.prt</t>
  </si>
  <si>
    <t>448597</t>
  </si>
  <si>
    <t>1225784</t>
  </si>
  <si>
    <t>H68 Valf Braketi Sac</t>
  </si>
  <si>
    <t>1226296</t>
  </si>
  <si>
    <t>M8 MAN ON L=15 mm</t>
  </si>
  <si>
    <t>1272017</t>
  </si>
  <si>
    <t>KAZAN-TAMPON BAĞLANTI SACI</t>
  </si>
  <si>
    <t>31.10.2026: Betonstar DXF ile kontrol edildi – STEP ölçümüyle aynı (210×90 mm). Değişiklik yok.</t>
  </si>
  <si>
    <t>STEP YOK – tahmini: resim ağırlığı, bükümlü fire oranı (3 büküm)</t>
  </si>
  <si>
    <t>561770</t>
  </si>
  <si>
    <t>108530</t>
  </si>
  <si>
    <t>241379</t>
  </si>
  <si>
    <t>570807</t>
  </si>
  <si>
    <t>235235</t>
  </si>
  <si>
    <t>Destek Sacı</t>
  </si>
  <si>
    <t>100904.prt</t>
  </si>
  <si>
    <t>393980</t>
  </si>
  <si>
    <t>SPANZET BA LANTI SAC 2</t>
  </si>
  <si>
    <t>404537</t>
  </si>
  <si>
    <t>106259</t>
  </si>
  <si>
    <t>Destek saci</t>
  </si>
  <si>
    <t>235264</t>
  </si>
  <si>
    <t>Yatay Boru Destek Sac -2</t>
  </si>
  <si>
    <t>109919</t>
  </si>
  <si>
    <t>SU TAPASI DEMİRİ - 2</t>
  </si>
  <si>
    <t>106224</t>
  </si>
  <si>
    <t>TEKERLEK ASKI SACI</t>
  </si>
  <si>
    <t>103208</t>
  </si>
  <si>
    <t>235223</t>
  </si>
  <si>
    <t>388532</t>
  </si>
  <si>
    <t>Platform su tankı ayağı h=110mm Sacı-2</t>
  </si>
  <si>
    <t>31.10.2026: 710674 teknik resmi (yeni klasör) kontrol edildi – parça listesi ve ağırlıklar aynı. Değişiklik yok.</t>
  </si>
  <si>
    <t>429072</t>
  </si>
  <si>
    <t>316196</t>
  </si>
  <si>
    <t>Elektrikli Valf Baglanti Saci 2</t>
  </si>
  <si>
    <t>109663</t>
  </si>
  <si>
    <t>237107</t>
  </si>
  <si>
    <t>H51 5.BOM DAYAMA SACI-1</t>
  </si>
  <si>
    <t>237123</t>
  </si>
  <si>
    <t>H51 5.BOM DAYAMA SACI-2</t>
  </si>
  <si>
    <t>110031</t>
  </si>
  <si>
    <t>Sac ;t =5mm</t>
  </si>
  <si>
    <t>110070</t>
  </si>
  <si>
    <t>108820</t>
  </si>
  <si>
    <t>108822</t>
  </si>
  <si>
    <t>110388</t>
  </si>
  <si>
    <t>235258</t>
  </si>
  <si>
    <t>Yatay Boru Destek Sacı-2</t>
  </si>
  <si>
    <t>236290</t>
  </si>
  <si>
    <t>H51 Platfrom Su tank Aya Sac -2</t>
  </si>
  <si>
    <t>680924</t>
  </si>
  <si>
    <t>448669</t>
  </si>
  <si>
    <t>106347</t>
  </si>
  <si>
    <t>SU TAPASI 160m³ POZ 1</t>
  </si>
  <si>
    <t>110031.prt</t>
  </si>
  <si>
    <t>110070.prt</t>
  </si>
  <si>
    <t>149764</t>
  </si>
  <si>
    <t>BRAKET BAGLANTI SACI</t>
  </si>
  <si>
    <t>530791</t>
  </si>
  <si>
    <t>480049</t>
  </si>
  <si>
    <t>112272</t>
  </si>
  <si>
    <t>106111</t>
  </si>
  <si>
    <t>5.BOM DESTEK SAC</t>
  </si>
  <si>
    <t>657849</t>
  </si>
  <si>
    <t>681072</t>
  </si>
  <si>
    <t>1215520</t>
  </si>
  <si>
    <t>Parça -3</t>
  </si>
  <si>
    <t>1215521</t>
  </si>
  <si>
    <t>Parça -4</t>
  </si>
  <si>
    <t>543420</t>
  </si>
  <si>
    <t>543421</t>
  </si>
  <si>
    <t>543416</t>
  </si>
  <si>
    <t>543417</t>
  </si>
  <si>
    <t>122687</t>
  </si>
  <si>
    <t>ÖN AYAK BASMA TEKERİ SACI 1</t>
  </si>
  <si>
    <t>122678</t>
  </si>
  <si>
    <t>ÖN AYAK BASMA TEKERİ SACI 2</t>
  </si>
  <si>
    <t>233459</t>
  </si>
  <si>
    <t>ÖN AYAK BASMA TEKERİ SACI 3</t>
  </si>
  <si>
    <t>553135</t>
  </si>
  <si>
    <t>430864</t>
  </si>
  <si>
    <t>178520</t>
  </si>
  <si>
    <t>Silindir donus engel sac 1</t>
  </si>
  <si>
    <t>178521</t>
  </si>
  <si>
    <t>Silindir donus engel sac 2</t>
  </si>
  <si>
    <t>227594</t>
  </si>
  <si>
    <t>Flans</t>
  </si>
  <si>
    <t>404576</t>
  </si>
  <si>
    <t>394277</t>
  </si>
  <si>
    <t>Z NC R KORUMA KAPAK SAC 2</t>
  </si>
  <si>
    <t>394278</t>
  </si>
  <si>
    <t>Z NC R KORUMA KAPAK SAC 3</t>
  </si>
  <si>
    <t>102414</t>
  </si>
  <si>
    <t>Can Open Baglantı Flansı</t>
  </si>
  <si>
    <t>101095</t>
  </si>
  <si>
    <t>101096</t>
  </si>
  <si>
    <t>101098</t>
  </si>
  <si>
    <t>110223</t>
  </si>
  <si>
    <t>H58_4_BOM_DESTEK_DAYAMA_PARCASI_1</t>
  </si>
  <si>
    <t>Kaynaklı ST52 grubu — sac maliyeti parametreleri</t>
  </si>
  <si>
    <t>Sac ve hurda fiyatı Parametreler sayfasına bağlıdır; kalınlık bazlı fiyat ve Hardox fiyatı bu sayfada girilebilir (sarı hücreler).</t>
  </si>
  <si>
    <t>Parametreler B5 ile bağlı (birleşik dosya)</t>
  </si>
  <si>
    <t>Parametreler B6 ile bağlı (birleşik dosya)</t>
  </si>
  <si>
    <t>Çelik yoğunluğu (g/cm³)</t>
  </si>
  <si>
    <t>Hardox 450 sac fiyatı (€/kg)</t>
  </si>
  <si>
    <t>Hardox parçalar için ayrı fiyat girin (varsayılan: genel sac fiyatı)</t>
  </si>
  <si>
    <t>Kalınlığa göre fiyat tablosu (€/kg hücrelerine değer yazarak kalınlık bazında fiyat verebilirsiniz)</t>
  </si>
  <si>
    <t>Sac €/kg</t>
  </si>
  <si>
    <t>Hurda €/kg</t>
  </si>
  <si>
    <t>Birim ağırlık (kg/m²)</t>
  </si>
  <si>
    <t>Hardox (€/m²)</t>
  </si>
  <si>
    <t>STEP olmayan ürünler için tahmini fire oranı (fire alanı / dikdörtgen alanı) – STEP'li ürünlerdeki ölçülen parçaların ortalaması</t>
  </si>
  <si>
    <t>Düz sac, parça &lt; 5 kg  (n=112 ölçülen parça)</t>
  </si>
  <si>
    <t>Düz sac, parça ≥ 5 kg  (n=31 ölçülen parça)</t>
  </si>
  <si>
    <t>Bükümlü sac  (n=97 ölçülen parça)</t>
  </si>
  <si>
    <t>Formül: Toplam maliyet = (Net alan + Fire alan) × Sac €/m² − Fire alan × Hurda €/m²</t>
  </si>
  <si>
    <t>€/m² = €/kg × kalınlık (mm) × yoğunluk (g/cm³)</t>
  </si>
  <si>
    <t>31.10.2026 güncellemeleri — wetransfer_kaynakli_2026-10-27_1354 klasörü incelemesi</t>
  </si>
  <si>
    <t>Yeşil satırlar Özet ve Parça Detay sayfalarında da yeşil işaretlidir. Maliyetler varsayılan fiyatlarla (Parametreler) karşılaştırmalıdır; yeni maliyet sütunu Özet sayfasına bağlıdır.  NOT (birleşik dosya): "Önceki maliyet" 1 €/kg sac / 0,2952 €/kg hurda ile hesaplanmıştı; "Yeni maliyet" artık Parametreler fiyatlarıyla (0,70 / 0,327) hesaplanıyor, bu yüzden fark sütunu fiyat değişikliğini de içerir.</t>
  </si>
  <si>
    <t>Veri</t>
  </si>
  <si>
    <t>Gerekçe</t>
  </si>
  <si>
    <t>Önceki maliyet / ürün (€)</t>
  </si>
  <si>
    <t>Yeni maliyet / ürün (€)</t>
  </si>
  <si>
    <t>Fark / ürün (€)</t>
  </si>
  <si>
    <t>Toplam fark (€)</t>
  </si>
  <si>
    <t>Toplam etki (ihtiyaç adetleriyle)</t>
  </si>
  <si>
    <t>Not: aynı üründe birden çok parça değiştiyse fark yalnızca ilk satırda değil her satırda ürün toplamı olarak görünür; toplam etki benzersiz ürünler üzerinden hesaplanır.</t>
  </si>
  <si>
    <t>Kontrol edilen ama değişiklik gerektirmeyenler:</t>
  </si>
  <si>
    <t>• 100904 (106544 ve 418374 içinde): Betonstar DXF 210×90 mm – önceki ölçümle aynı.</t>
  </si>
  <si>
    <t>• 710674 Spanzet Bağlantısı: yeni klasördeki teknik resim parça listesi ve ağırlıkları aynı.</t>
  </si>
  <si>
    <t>• Diğer 135 STEP'siz ürünün parça kodları için klasörde DXF/resim bulunmadı (klasör STEP'li 58 ürün + 217564, 232486 klasörlerini içeriyor). Tahminler değişmedi.</t>
  </si>
  <si>
    <t>• Örnekleme kontrolü: STEP'li ürünlerden 40 parçanın DXF kesim ölçüsü benim açınımlarımla karşılaştırıldı; pahlı 20 mm plakalar dışında hepsi ±1 mm içinde aynı.</t>
  </si>
  <si>
    <t>1. Her ürünün STEP modeli (ST52-STEP/&lt;kod&gt;_asm.stp) okunup parça listesindeki (_sablon/veri/&lt;kod&gt;.json) her sac parçası kütleye göre modeldeki gövdeyle eşleştirildi.</t>
  </si>
  <si>
    <t>2. Düz sac: plaka yüzeyinin izdüşümü = açınım (kesin).</t>
  </si>
  <si>
    <t>3. Bükümlü sac, büküm eksenleri paralel: profil sac ortasından (K=0,5 tarafsız eksen) açıldı. Kapalı profiller (kutu kesit) de bu yolla açıldı.</t>
  </si>
  <si>
    <t>4. Bükümlü sac, farklı yönlü bükümler: sac ortası yüzey ağı izometrik olarak düzleme açıldı.</t>
  </si>
  <si>
    <t>5. Her açınım, parça hacmi / kalınlık (= sac ortası alanı) ile kontrol edildi; bükümlülerde sapma ≤ %2, düzlerde ≤ %6 (talaşlı pah/havşa farkı).</t>
  </si>
  <si>
    <t>6. Açınım çıkarılamayan parçalar (turuncu satırlar): net alan = hacim / kalınlık, dikdörtgen = izdüşümün çevreleyen dikdörtgeni (tahmini).</t>
  </si>
  <si>
    <t>7. Dikdörtgen: açınımı çevreleyen en küçük (döndürülmüş) dikdörtgen. Fire = dikdörtgen − net alan; iç pencere ve delikler fireye dahil. Nesting (iç pencereden parça kesme) hesaba katılmadı.</t>
  </si>
  <si>
    <t>8. Kalınlık, parça listesindeki değerin en yakın standart sac kalınlığına yuvarlanmasıyla alındı (ör. 3,1→3; 8,1→8; 5,2→5); listede yanlış olanlar geometriden ölçüldü.</t>
  </si>
  <si>
    <t>9. Hesap dışı: bağlantı elemanları (DIN, H900…), borular/miller, standart sac kalınlığında olmayan blok/talaşlı parçalar (35,4 / 45 mm takozlar vb.), resimde olmayan parçalar.</t>
  </si>
  <si>
    <t>10. 112569 Şasi Bağlantılı Tampon: STEP'te 81 gövde, parça listesinde 25 kalem var; eşleştirme kütleyle yapıldı, küçük parçalar tahmini.</t>
  </si>
  <si>
    <t>11. STEP OLMAYAN ÜRÜNLER (sarı satırlar): sac parça listesi, kalınlık ve ağırlıklar teknik resimden (_sablon/veri). Net alan = resim ağırlığı / (kalınlık × yoğunluk). Dikdörtgen alan = net alan / (1 − fire oranı); fire oranı STEP'li ürünlerde ölçülen parçaların sınıf ortalaması (düz &lt;5 kg, düz ≥5 kg, bükümlü) – Parametreler sayfasından değiştirilebilir. Aynı parça kodu STEP'li bir üründe ölçüldüyse o ölçüm kullanıldı.</t>
  </si>
  <si>
    <t>12. Abkant bükümlerde gerçek K faktörü 0,33–0,45 arasıdır; açınım boyu büküm başına ~1–2 mm kısalır, maliyet etkisi ihmal edilebilir.</t>
  </si>
  <si>
    <t>Kalınlık etiketi</t>
  </si>
  <si>
    <t>Neden</t>
  </si>
  <si>
    <t>Satınalma (açıklamayla)</t>
  </si>
  <si>
    <t>Resim durumu</t>
  </si>
  <si>
    <t>Satınalma notu</t>
  </si>
  <si>
    <t>Fiyat</t>
  </si>
  <si>
    <t>Tutar / ürün (€)</t>
  </si>
  <si>
    <t>1343554</t>
  </si>
  <si>
    <t>Ø30 MIL TRANSMISYON L:1243mm</t>
  </si>
  <si>
    <t>montaj</t>
  </si>
  <si>
    <t>Bağlantı elemanı / satın alma</t>
  </si>
  <si>
    <t>Evet</t>
  </si>
  <si>
    <t>Ø30 transmisyon mili, boyda kesim</t>
  </si>
  <si>
    <t>COMPOUND</t>
  </si>
  <si>
    <t>resimde yok</t>
  </si>
  <si>
    <t>Resimde yok – hesap dışı</t>
  </si>
  <si>
    <t>Hayır</t>
  </si>
  <si>
    <t>Resim istenecek</t>
  </si>
  <si>
    <t>Tanımsız gövde (resimde yok) – Betonstar'a sorulmalı · ürün STEP modelinde 3D geometrisi var</t>
  </si>
  <si>
    <t>655949</t>
  </si>
  <si>
    <t>Ø30 MIL TRANSMISYON L:1172mm</t>
  </si>
  <si>
    <t>Sadece "Tutamak" – ölçü/tip yok · ürün STEP modelinde 3D geometrisi var</t>
  </si>
  <si>
    <t>H300.00067</t>
  </si>
  <si>
    <t>ARMUT TAKOZ</t>
  </si>
  <si>
    <t>Standart armut takoz (katalog) – ölçü/tip teyit edilmeli</t>
  </si>
  <si>
    <t>TEKNİK BİLGİ BEKLENİYOR</t>
  </si>
  <si>
    <t>655833</t>
  </si>
  <si>
    <t>Ara boru Ø38×Ø30,8 L50</t>
  </si>
  <si>
    <t>6 mm</t>
  </si>
  <si>
    <t>Boru / mil – sac değil</t>
  </si>
  <si>
    <t>Boru Ø38×Ø30,8, L50 kesim</t>
  </si>
  <si>
    <t>H900.00013</t>
  </si>
  <si>
    <t>DIN125 M8 Rondela</t>
  </si>
  <si>
    <t>Standart DIN125 M8 rondela</t>
  </si>
  <si>
    <t>H900.00014</t>
  </si>
  <si>
    <t>DIN985 M8 Somun</t>
  </si>
  <si>
    <t>Standart</t>
  </si>
  <si>
    <t>H900.00064</t>
  </si>
  <si>
    <t>DIN125 M10 Rondela</t>
  </si>
  <si>
    <t>H900.00069</t>
  </si>
  <si>
    <t>DIN985 M10 Somun</t>
  </si>
  <si>
    <t>H900.00024</t>
  </si>
  <si>
    <t>DIN933 M10x25 8.8 Civata</t>
  </si>
  <si>
    <t>655972</t>
  </si>
  <si>
    <t>DIN935 M30x3.5</t>
  </si>
  <si>
    <t>Standart DIN935 M30x3.5 taçlı somun</t>
  </si>
  <si>
    <t>TEKLİF BEKLENİYOR</t>
  </si>
  <si>
    <t>H411.00015</t>
  </si>
  <si>
    <t>DIN94 5x80 GUPILYA</t>
  </si>
  <si>
    <t>Standart DIN94 kopilya</t>
  </si>
  <si>
    <t>323753</t>
  </si>
  <si>
    <t>DIN 929 M10 kaynak somunu</t>
  </si>
  <si>
    <t>DIN929 M10 kaynak somunu</t>
  </si>
  <si>
    <t>H900.680347</t>
  </si>
  <si>
    <t>DIN 929 M8 kaynak somunu</t>
  </si>
  <si>
    <t>Standart DIN929 M8</t>
  </si>
  <si>
    <t>323753 = DIN929 M10 kaynak somunu (diğer ürünlerdeki aynı kod)</t>
  </si>
  <si>
    <t>H900.00030</t>
  </si>
  <si>
    <t>SOMUN M10 BEYAZ DIN934</t>
  </si>
  <si>
    <t>228112</t>
  </si>
  <si>
    <t>Kazan Yaglama Takozu</t>
  </si>
  <si>
    <t>23.5 mm</t>
  </si>
  <si>
    <t>Standart sac kalınlığı değil (23.5 mm) – blok/talaşlı parça</t>
  </si>
  <si>
    <t>23,5 mm blok – talaşlı imalat · ürün STEP modelinde 3D geometrisi var</t>
  </si>
  <si>
    <t>H900.00017</t>
  </si>
  <si>
    <t>DIN934 M8 Somun</t>
  </si>
  <si>
    <t>209708</t>
  </si>
  <si>
    <t>Resimde olmayan parça (2 mm, 4 büküm)</t>
  </si>
  <si>
    <t>Resimde olmayan bükümlü sac – Betonstar'a sorulmalı · ürün STEP modelinde 3D geometrisi var</t>
  </si>
  <si>
    <t>232731_AF0</t>
  </si>
  <si>
    <t>Aski Sag-Sol Takoz Kaynak Kanalli bileşeni</t>
  </si>
  <si>
    <t>35.4 mm</t>
  </si>
  <si>
    <t>Standart sac kalınlığı değil (35.4 mm) – blok/talaşlı parça</t>
  </si>
  <si>
    <t>Talaşlı takoz · ürün STEP modelinde 3D geometrisi var</t>
  </si>
  <si>
    <t>232735_AF0</t>
  </si>
  <si>
    <t>45 mm</t>
  </si>
  <si>
    <t>Standart sac kalınlığı değil (45 mm) – blok/talaşlı parça</t>
  </si>
  <si>
    <t>232731_AF1</t>
  </si>
  <si>
    <t>H51-ABD-SAĞ SOL TAKOZ KANAL İŞLEMİ bileşeni</t>
  </si>
  <si>
    <t>1056824_AF1</t>
  </si>
  <si>
    <t>238325</t>
  </si>
  <si>
    <t>BAGLANTI KOLU BORUSU</t>
  </si>
  <si>
    <t>70.2 mm</t>
  </si>
  <si>
    <t>Standart sac kalınlığı değil (70.2 mm) – blok/talaşlı parça</t>
  </si>
  <si>
    <t>Boru, ölçü açıklamada yok · ürün STEP modelinde 3D geometrisi var</t>
  </si>
  <si>
    <t>105263</t>
  </si>
  <si>
    <t>ASKI MİLİ 135mm</t>
  </si>
  <si>
    <t>49 mm</t>
  </si>
  <si>
    <t>Mil, çap/tolerans açıklamada yok · ürün STEP modelinde 3D geometrisi var</t>
  </si>
  <si>
    <t>DIN 929 M10 Kaynak Somunu</t>
  </si>
  <si>
    <t>H900.00267</t>
  </si>
  <si>
    <t>SOMUN M12 DUZ BEYAZ DIN934</t>
  </si>
  <si>
    <t>H900_1424046</t>
  </si>
  <si>
    <t>13.2 mm</t>
  </si>
  <si>
    <t>Bağlantı elemanı / satın alma (H900)</t>
  </si>
  <si>
    <t>H900 standart kod ama tanımı yok – teyit edilmeli · ürün STEP modelinde 3D geometrisi var</t>
  </si>
  <si>
    <t>1.5 mm</t>
  </si>
  <si>
    <t>H900.00013 = DIN125 M8 rondela (1343489 satırından)</t>
  </si>
  <si>
    <t>117715</t>
  </si>
  <si>
    <t>TAMPON AYARLI MONTAJ</t>
  </si>
  <si>
    <t>Kalınlık yok – boru/profil/alt montaj/satın alma (ayrı fiyatlanmalı)</t>
  </si>
  <si>
    <t>Alt montaj</t>
  </si>
  <si>
    <t>713971</t>
  </si>
  <si>
    <t>H47 USA arka bom desteği yatay hat tutucu kaynak (alt montaj)</t>
  </si>
  <si>
    <t>Bağlantı elemanı / satın alma / alt montaj</t>
  </si>
  <si>
    <t>Alt montaj (kaynaklı)</t>
  </si>
  <si>
    <t>716923</t>
  </si>
  <si>
    <t>H47 USA yatay hat kelepçe tutucu</t>
  </si>
  <si>
    <t>Kelepçe tutucu – imalat</t>
  </si>
  <si>
    <t>H900.00066</t>
  </si>
  <si>
    <t>DIN125 M16 rondela</t>
  </si>
  <si>
    <t>H900.00070</t>
  </si>
  <si>
    <t>DIN985 M16 somun</t>
  </si>
  <si>
    <t>H900.00073</t>
  </si>
  <si>
    <t>Cıvata M16x40 DIN933</t>
  </si>
  <si>
    <t>H900.00016</t>
  </si>
  <si>
    <t>Cıvata M16x45 DIN933</t>
  </si>
  <si>
    <t>Boru, boyda kesim</t>
  </si>
  <si>
    <t>475200</t>
  </si>
  <si>
    <t>KUTU PROFİL : 60x40x5 L:700 mm</t>
  </si>
  <si>
    <t>Kutu profil, boyda kesim</t>
  </si>
  <si>
    <t>H411.00160</t>
  </si>
  <si>
    <t>AYAK KILIDI YENİ TIP</t>
  </si>
  <si>
    <t>Ayak kilidi – tip/ölçü yok, Betonstar tedarikçisi sorulmalı</t>
  </si>
  <si>
    <t>BRAKET BURC BAGLANTI KAYNAK</t>
  </si>
  <si>
    <t>Resmi var (149964.pdf)</t>
  </si>
  <si>
    <t>Kaynaklı alt montaj</t>
  </si>
  <si>
    <t>114246</t>
  </si>
  <si>
    <t>TAMPON MERDİVEN PRO</t>
  </si>
  <si>
    <t>433808</t>
  </si>
  <si>
    <t>Kutu Profil: 160x80x8 L:145mm</t>
  </si>
  <si>
    <t>8 mm</t>
  </si>
  <si>
    <t>Boru / profil / mil / takoz – sac değil</t>
  </si>
  <si>
    <t>396659</t>
  </si>
  <si>
    <t>OLUK TAŞIMA MAFSAL BURÇ 1</t>
  </si>
  <si>
    <t>Burç – ölçü yok</t>
  </si>
  <si>
    <t>5 mm</t>
  </si>
  <si>
    <t>Boru, boyda kesim – uç kesim açısı ürün resminden kontrol edilmeli</t>
  </si>
  <si>
    <t>H411.00013</t>
  </si>
  <si>
    <t>KELEPÇE TOPUZU Ø60 DÖKÜM</t>
  </si>
  <si>
    <t>Döküm topuz – ölçü/tedarikçi yok</t>
  </si>
  <si>
    <t>Sac – ölçü yok</t>
  </si>
  <si>
    <t>108757</t>
  </si>
  <si>
    <t>Boru :Ø63,5x4 L:94mm</t>
  </si>
  <si>
    <t>110435</t>
  </si>
  <si>
    <t>KUTU PROF L ; 60 X 60 X 4 L = 540 mm</t>
  </si>
  <si>
    <t>4 mm</t>
  </si>
  <si>
    <t>1154214</t>
  </si>
  <si>
    <t>KUTU PROFİL 60x60x4 L: 515 mm</t>
  </si>
  <si>
    <t>147776</t>
  </si>
  <si>
    <t>H58_4_BOM_DESTEK_BAGLANTI_PARCASI_4</t>
  </si>
  <si>
    <t>Ölçü yok</t>
  </si>
  <si>
    <t>147779</t>
  </si>
  <si>
    <t>H58_4_BOM_DESTEK_BAGLANTI_PARCASI_3</t>
  </si>
  <si>
    <t>115468</t>
  </si>
  <si>
    <t>H37-2.BOM DAYAMA PARÇASI BORU</t>
  </si>
  <si>
    <t>Boru – ölçü yok</t>
  </si>
  <si>
    <t>H411.00040</t>
  </si>
  <si>
    <t>KELEPÇE 5,5" 2 CİVATALI</t>
  </si>
  <si>
    <t>Standart 5,5" 2 cıvatalı kelepçe (katalog)</t>
  </si>
  <si>
    <t>771106</t>
  </si>
  <si>
    <t>Kutu Profil: 100x50x5 L:265mm</t>
  </si>
  <si>
    <t>771109</t>
  </si>
  <si>
    <t>Kutu Profil: 100x50x5 L:170mm</t>
  </si>
  <si>
    <t>395685</t>
  </si>
  <si>
    <t>Kutu profil 60x40x4 L=541,4</t>
  </si>
  <si>
    <t>379860</t>
  </si>
  <si>
    <t>Kutu Profil 40x60x4 L=700</t>
  </si>
  <si>
    <t>379465</t>
  </si>
  <si>
    <t>60X40X4 L=650 MM KUTU PROFİL</t>
  </si>
  <si>
    <t>H411_03_00_00008</t>
  </si>
  <si>
    <t>KELEPÇE 2 CIVATALI (K000231427)</t>
  </si>
  <si>
    <t>Tedarikçi kodu K000231427 ile</t>
  </si>
  <si>
    <t>117806</t>
  </si>
  <si>
    <t>Kutu Profil: 40x40x4</t>
  </si>
  <si>
    <t>Kutu profil 40x40x4 – boy açıklamada yok, ürün resminden alınmalı</t>
  </si>
  <si>
    <t>H411_03_00_00356</t>
  </si>
  <si>
    <t>SIKMALI KELEPÇE H26 (S2030002)</t>
  </si>
  <si>
    <t>Tedarikçi kodu S2030002 ile</t>
  </si>
  <si>
    <t>H411.00.00.00160</t>
  </si>
  <si>
    <t>Ayak kilidi yeni tip (satın alma)</t>
  </si>
  <si>
    <t>1225645</t>
  </si>
  <si>
    <t>KUTU PROF L Ø80X60X6 L=100 mm</t>
  </si>
  <si>
    <t>Kutu profil 80x60x6, boyda kesim</t>
  </si>
  <si>
    <t>240998</t>
  </si>
  <si>
    <t>Kutu Profil:80x80x6 L:148.5mm</t>
  </si>
  <si>
    <t>Ø16x2 boru L=233 (aynı kodun diğer satırından)</t>
  </si>
  <si>
    <t>100982</t>
  </si>
  <si>
    <t>100982.prt</t>
  </si>
  <si>
    <t>Tanım yok</t>
  </si>
  <si>
    <t>232731</t>
  </si>
  <si>
    <t>Aski Takozu</t>
  </si>
  <si>
    <t>35 mm</t>
  </si>
  <si>
    <t>Talaşlı takoz</t>
  </si>
  <si>
    <t>1056824</t>
  </si>
  <si>
    <t>H51-ABD- TAKOZ MİLİ</t>
  </si>
  <si>
    <t>Takoz mili – ölçü yok</t>
  </si>
  <si>
    <t>232735</t>
  </si>
  <si>
    <t>Takoz Mili</t>
  </si>
  <si>
    <t>109917</t>
  </si>
  <si>
    <t>SU TAPASI DEMİRİ TAKOZ</t>
  </si>
  <si>
    <t>30 mm</t>
  </si>
  <si>
    <t>30 mm takoz – talaşlı</t>
  </si>
  <si>
    <t>237124</t>
  </si>
  <si>
    <t>H51 5.BOM DAYAMA BORUSU</t>
  </si>
  <si>
    <t>108821</t>
  </si>
  <si>
    <t>149771</t>
  </si>
  <si>
    <t>BRAKET BURC</t>
  </si>
  <si>
    <t>657848</t>
  </si>
  <si>
    <t>BORU Ø40x30mm L:65.5 mm</t>
  </si>
  <si>
    <t>Boru Ø40/Ø30, boyda kesim</t>
  </si>
  <si>
    <t>543419</t>
  </si>
  <si>
    <t>Kutu Profil 40x40x4 L=110 mm</t>
  </si>
  <si>
    <t>0899901</t>
  </si>
  <si>
    <t>ÇIKRIK APARAT BORU Ø63.5x5 L=100 mm</t>
  </si>
  <si>
    <t>189225</t>
  </si>
  <si>
    <t>Kazan Tampon Baglanti Parçası - 189225</t>
  </si>
  <si>
    <t>0949720</t>
  </si>
  <si>
    <t>Boru Ø63.5x5 L:71.5mm</t>
  </si>
  <si>
    <t>430863</t>
  </si>
  <si>
    <t>BORU 18x3,5x21mm</t>
  </si>
  <si>
    <t>Boru 18x3,5, boyda kesim</t>
  </si>
  <si>
    <t>106922</t>
  </si>
  <si>
    <t>Plastik takoz (hazır)</t>
  </si>
  <si>
    <t>Hazır plastik takoz – tip yok</t>
  </si>
  <si>
    <t>147777</t>
  </si>
  <si>
    <t>H58_4_BOM_DESTEK_DAYAMA_PARCASI_2</t>
  </si>
  <si>
    <t>Sac dışı satın alınacak / ayrı fiyatlanacak kalemler (bilgi amaçlı)</t>
  </si>
  <si>
    <t>Kaynak: ST52_sac_maliyet_ozet.xlsx › Hesap Dışı Parçalar ("Resimde yok – hesap dışı" satırları hariç). Fiyatı Maliyet Analizi › Satınalma malzeme sütununa ürün başı toplam olarak girin.</t>
  </si>
  <si>
    <t>Kalınlık / tip</t>
  </si>
  <si>
    <t>Toplam ihtiyaç</t>
  </si>
  <si>
    <t>Yaş Boya – Boya Arabası Kapasite Listesi</t>
  </si>
  <si>
    <t>Sarı hücreleri doldurunuz: her ürün için bir boya arabasına kaç adet asılabileceği ve bir arabanın güncel maliyeti.</t>
  </si>
  <si>
    <t>Bir arabanın güncel boya maliyeti (€):</t>
  </si>
  <si>
    <t>Dosya klasörü:</t>
  </si>
  <si>
    <t>Boş bırakıldığında bağlantılar bu Excel dosyasının yanındaki Teknik_Resim ve STEP klasörlerini açar. Gerekirse klasör yolu yazılabilir.</t>
  </si>
  <si>
    <t>Sıra</t>
  </si>
  <si>
    <t>Resim No</t>
  </si>
  <si>
    <t>Parça Adı</t>
  </si>
  <si>
    <t>Sipariş Adedi</t>
  </si>
  <si>
    <t>Birim Ağırlık (kg)</t>
  </si>
  <si>
    <t>Dış Ölçü (mm)</t>
  </si>
  <si>
    <t>Yüzey Alanı (m²/adet, yaklaşık)</t>
  </si>
  <si>
    <t>Astar / Boya Şartı (resim)</t>
  </si>
  <si>
    <t>Teknik Resim</t>
  </si>
  <si>
    <t>STEP Dosyası</t>
  </si>
  <si>
    <t>Arabaya Asılabilecek Adet</t>
  </si>
  <si>
    <t>Gereken Araba Sayısı</t>
  </si>
  <si>
    <t>1031×980×220</t>
  </si>
  <si>
    <t>Kapalı Kalan iç yüzeylerin astarına dikkat</t>
  </si>
  <si>
    <t>1243×854×147</t>
  </si>
  <si>
    <t>Civatalarda astarlanacak mı?</t>
  </si>
  <si>
    <t>1375×952×256</t>
  </si>
  <si>
    <t>2306×150×115</t>
  </si>
  <si>
    <t>713×610×275</t>
  </si>
  <si>
    <t>713×610×290</t>
  </si>
  <si>
    <t>Epoksi astar min. 35 µm</t>
  </si>
  <si>
    <t>750×578×87</t>
  </si>
  <si>
    <t>Epoksi astar min. 30 µm</t>
  </si>
  <si>
    <t>750×592×87</t>
  </si>
  <si>
    <t>700×290×130</t>
  </si>
  <si>
    <t>698×220×195</t>
  </si>
  <si>
    <t>701×340×25</t>
  </si>
  <si>
    <t>870×150×138</t>
  </si>
  <si>
    <t>850×150×138</t>
  </si>
  <si>
    <t>810×400×135</t>
  </si>
  <si>
    <t>860×255×60</t>
  </si>
  <si>
    <t>çizime bakınız</t>
  </si>
  <si>
    <t>yok</t>
  </si>
  <si>
    <t>574×247×180</t>
  </si>
  <si>
    <t>492×350×324</t>
  </si>
  <si>
    <t>240×217×106</t>
  </si>
  <si>
    <t>447×164×140</t>
  </si>
  <si>
    <t>911×465×91</t>
  </si>
  <si>
    <t>588×479×316</t>
  </si>
  <si>
    <t>911×429×97</t>
  </si>
  <si>
    <t>595×265×249</t>
  </si>
  <si>
    <t>400×277×150</t>
  </si>
  <si>
    <t>470×340×100</t>
  </si>
  <si>
    <t>Astar boya 50+20 µm</t>
  </si>
  <si>
    <t>240×217×78</t>
  </si>
  <si>
    <t>491×216×150</t>
  </si>
  <si>
    <t>911×600×111</t>
  </si>
  <si>
    <t>Toplam</t>
  </si>
  <si>
    <t>Notlar:</t>
  </si>
  <si>
    <t>• "Arabaya Asılabilecek Adet": bir boya arabasına aynı üründen kaç adet asılabileceği. "Gereken Araba Sayısı" sipariş adedine göre otomatik hesaplanır.</t>
  </si>
  <si>
    <t>• Yüzey alanı ve dış ölçü: STEP olan kalemlerde 3B modelden ölçülmüştür; diğerlerinde alan ağırlık ve sac kalınlığından hesaplanmış yaklaşık değerdir, ölçüler için teknik resme bakınız.</t>
  </si>
  <si>
    <t>• Teknik resimler "Teknik_Resim", 3B modeller "STEP" klasöründedir. Liste birim ağırlığa göre büyükten küçüğe sıralıdır.</t>
  </si>
  <si>
    <t>Kataforez fason kaplama – teklif karşılaştırması (15 kalem) — K. Demirci, 28.10.2026</t>
  </si>
  <si>
    <t>Malzeme sevk bedelleri fiyata dahil değil; parçalar seperatörle ayrılıyor, ek paketleme yok. Ege Eloksal teklifi bekleniyor; Yetkin maskeleme/nakliye detayı bekleniyor.</t>
  </si>
  <si>
    <t>Toplam Ağırlık (kg)</t>
  </si>
  <si>
    <t>MANİSA KAPLAMA</t>
  </si>
  <si>
    <t>YETKİN KATAFOREZ (Boysaş)</t>
  </si>
  <si>
    <t>EGE ELOKSAL</t>
  </si>
  <si>
    <t>Birim Fiyat € (Kumlama+Kaplama)</t>
  </si>
  <si>
    <t>Maskeleme Maliyeti</t>
  </si>
  <si>
    <t>Nakliye Maliyeti</t>
  </si>
  <si>
    <t>Toplam € (Adet × Birim)</t>
  </si>
  <si>
    <t>ağırlık</t>
  </si>
  <si>
    <t>Firma teklif-1</t>
  </si>
  <si>
    <t>0,1 € (cıvata/somun adedi)</t>
  </si>
  <si>
    <t>Teklifte detay yok, bilgi bekleniyor</t>
  </si>
  <si>
    <t>Teklif bekleniyor</t>
  </si>
  <si>
    <t>Bisikletlik Şase Bağlantı Profili</t>
  </si>
  <si>
    <t>Stop Braket Sağ</t>
  </si>
  <si>
    <t>Enkoder Bağlantı Sacı</t>
  </si>
  <si>
    <t>STEP VEYA DETAYLI RESİM GEREKLİ</t>
  </si>
  <si>
    <t>SATINALMA MALİYETİ GELMELİ</t>
  </si>
  <si>
    <t>STEP VE ALT RESİM DETAYLARI GEREKİYOR.</t>
  </si>
  <si>
    <t>STEP VEYA DETAYLI RESİM GEREKLİ. SAC KALINLIĞI TANIMLI DEĞİL.</t>
  </si>
  <si>
    <t>STEP VEYA DETAY RESİM GEREKLİ</t>
  </si>
  <si>
    <t>STEP VEYA DETAY RESİM GEREKLİ. İŞLEMELİ PARÇALAR.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</si>
</sst>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#,##0&quot; €&quot;;\(#,##0&quot; €)&quot;;\-"/>
    <numFmt numFmtId="165" formatCode="0.0%;\(0.0%\);\-"/>
    <numFmt numFmtId="166" formatCode="#,##0&quot; €&quot;"/>
    <numFmt numFmtId="167" formatCode="#,##0.00;\(#,##0.00\);\-"/>
    <numFmt numFmtId="168" formatCode="#,##0.00&quot; €&quot;;\(#,##0.00&quot; €)&quot;;\-"/>
    <numFmt numFmtId="169" formatCode="#,##0.##"/>
    <numFmt numFmtId="170" formatCode="#,##0.0"/>
    <numFmt numFmtId="171" formatCode="0.00&quot; €/kg&quot;"/>
    <numFmt numFmtId="172" formatCode="0.0"/>
    <numFmt numFmtId="173" formatCode="0.0%;\-0.0%;\-"/>
    <numFmt numFmtId="174" formatCode="#,##0;;\-"/>
    <numFmt numFmtId="175" formatCode="#,##0.00;\-#,##0.00;\-"/>
    <numFmt numFmtId="176" formatCode="0.000"/>
    <numFmt numFmtId="177" formatCode="0.0%"/>
    <numFmt numFmtId="178" formatCode="#,##0.00&quot; €&quot;"/>
    <numFmt numFmtId="179" formatCode="\+#,##0.00&quot; €&quot;;\-#,##0.00&quot; €&quot;"/>
    <numFmt numFmtId="180" formatCode="0.0000"/>
    <numFmt numFmtId="181" formatCode="\+#,##0.00;\-#,##0.00"/>
    <numFmt numFmtId="182" formatCode="_-[$€-2]\ * #,##0.000_-;\-[$€-2]\ * #,##0.000_-;_-[$€-2]\ * \-??_-;_-@_-"/>
    <numFmt numFmtId="183" formatCode="[$€-2]\ #,##0.00"/>
    <numFmt numFmtId="184" formatCode="_(* #,##0.00_);_(* \(#,##0.00\);_(* \-??_);_(@_)"/>
    <numFmt numFmtId="185" formatCode="0.00&quot; m² top.&quot;"/>
  </numFmts>
  <fonts count="57" x14ac:knownFonts="1">
    <font>
      <sz val="11"/>
      <color theme="1"/>
      <name val="Calibri"/>
      <family val="2"/>
      <charset val="1"/>
    </font>
    <font>
      <b/>
      <sz val="14"/>
      <name val="Arial"/>
      <family val="2"/>
      <charset val="1"/>
    </font>
    <font>
      <i/>
      <sz val="9"/>
      <color rgb="FF595959"/>
      <name val="Arial"/>
      <family val="2"/>
      <charset val="1"/>
    </font>
    <font>
      <b/>
      <sz val="11"/>
      <color rgb="FFFFFFFF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i/>
      <sz val="8"/>
      <color rgb="FF595959"/>
      <name val="Arial"/>
      <family val="2"/>
      <charset val="1"/>
    </font>
    <font>
      <b/>
      <sz val="9"/>
      <name val="Arial"/>
      <family val="2"/>
      <charset val="1"/>
    </font>
    <font>
      <b/>
      <sz val="9"/>
      <color rgb="FFFFFFFF"/>
      <name val="Arial"/>
      <family val="2"/>
      <charset val="1"/>
    </font>
    <font>
      <sz val="9"/>
      <name val="Arial"/>
      <family val="2"/>
      <charset val="1"/>
    </font>
    <font>
      <sz val="9"/>
      <color rgb="FF008000"/>
      <name val="Arial"/>
      <family val="2"/>
      <charset val="1"/>
    </font>
    <font>
      <sz val="9"/>
      <color rgb="FF008000"/>
      <name val="Arial"/>
      <charset val="1"/>
    </font>
    <font>
      <sz val="9"/>
      <color rgb="FF0000FF"/>
      <name val="Arial"/>
      <family val="2"/>
      <charset val="1"/>
    </font>
    <font>
      <b/>
      <sz val="9"/>
      <name val="Arial"/>
      <charset val="1"/>
    </font>
    <font>
      <sz val="10"/>
      <name val="Arial"/>
      <family val="2"/>
    </font>
    <font>
      <b/>
      <sz val="13"/>
      <name val="Arial"/>
      <family val="2"/>
      <charset val="1"/>
    </font>
    <font>
      <i/>
      <sz val="11"/>
      <color rgb="FF595959"/>
      <name val="Arial"/>
      <family val="2"/>
      <charset val="1"/>
    </font>
    <font>
      <sz val="11"/>
      <color rgb="FF0000FF"/>
      <name val="Arial"/>
      <family val="2"/>
      <charset val="1"/>
    </font>
    <font>
      <sz val="11"/>
      <color rgb="FF008000"/>
      <name val="Arial"/>
      <charset val="1"/>
    </font>
    <font>
      <b/>
      <sz val="11"/>
      <color rgb="FF000000"/>
      <name val="Arial"/>
      <family val="2"/>
      <charset val="1"/>
    </font>
    <font>
      <sz val="11"/>
      <color rgb="FF404040"/>
      <name val="Arial"/>
      <family val="2"/>
      <charset val="1"/>
    </font>
    <font>
      <b/>
      <sz val="14"/>
      <name val="Arial"/>
      <charset val="1"/>
    </font>
    <font>
      <i/>
      <sz val="9"/>
      <name val="Arial"/>
      <charset val="1"/>
    </font>
    <font>
      <b/>
      <sz val="10"/>
      <color rgb="FFFFFFFF"/>
      <name val="Arial"/>
      <charset val="1"/>
    </font>
    <font>
      <u/>
      <sz val="10"/>
      <color rgb="FF92D050"/>
      <name val="Arial"/>
      <family val="2"/>
      <charset val="1"/>
    </font>
    <font>
      <sz val="10"/>
      <name val="Arial"/>
      <charset val="1"/>
    </font>
    <font>
      <sz val="10"/>
      <color rgb="FF0000FF"/>
      <name val="Arial"/>
      <charset val="1"/>
    </font>
    <font>
      <sz val="10"/>
      <color theme="9"/>
      <name val="Arial"/>
      <family val="2"/>
      <charset val="1"/>
    </font>
    <font>
      <b/>
      <sz val="10"/>
      <color rgb="FF6A4CFF"/>
      <name val="Arial"/>
      <charset val="1"/>
    </font>
    <font>
      <u/>
      <sz val="10"/>
      <color rgb="FF0563C1"/>
      <name val="Arial"/>
      <charset val="1"/>
    </font>
    <font>
      <b/>
      <sz val="10"/>
      <color rgb="FFFF000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name val="Arial"/>
      <charset val="1"/>
    </font>
    <font>
      <sz val="9"/>
      <color rgb="FF6B7280"/>
      <name val="Arial"/>
      <charset val="1"/>
    </font>
    <font>
      <sz val="11"/>
      <color rgb="FF008000"/>
      <name val="Cambria"/>
      <charset val="1"/>
    </font>
    <font>
      <b/>
      <sz val="10"/>
      <color rgb="FFC2410C"/>
      <name val="Arial"/>
      <charset val="1"/>
    </font>
    <font>
      <b/>
      <sz val="13"/>
      <name val="Arial"/>
      <charset val="1"/>
    </font>
    <font>
      <i/>
      <sz val="9"/>
      <color rgb="FF9C5700"/>
      <name val="Arial"/>
      <charset val="1"/>
    </font>
    <font>
      <b/>
      <sz val="11"/>
      <name val="Arial"/>
      <charset val="1"/>
    </font>
    <font>
      <sz val="11"/>
      <name val="Arial"/>
      <charset val="1"/>
    </font>
    <font>
      <sz val="11"/>
      <color rgb="FF0000FF"/>
      <name val="Arial"/>
      <charset val="1"/>
    </font>
    <font>
      <u/>
      <sz val="11"/>
      <color rgb="FF0563C1"/>
      <name val="Arial"/>
      <charset val="1"/>
    </font>
    <font>
      <sz val="9"/>
      <name val="Arial"/>
      <charset val="1"/>
    </font>
    <font>
      <i/>
      <sz val="11"/>
      <name val="Arial"/>
      <charset val="1"/>
    </font>
    <font>
      <b/>
      <sz val="12"/>
      <name val="Arial"/>
      <family val="2"/>
      <charset val="1"/>
    </font>
    <font>
      <i/>
      <sz val="10"/>
      <name val="Arial"/>
      <charset val="1"/>
    </font>
    <font>
      <b/>
      <sz val="11"/>
      <color rgb="FF008000"/>
      <name val="Arial"/>
      <charset val="1"/>
    </font>
    <font>
      <sz val="9"/>
      <color rgb="FF0000FF"/>
      <name val="Arial"/>
      <charset val="1"/>
    </font>
    <font>
      <i/>
      <sz val="9"/>
      <color rgb="FF6B7280"/>
      <name val="Arial"/>
      <charset val="1"/>
    </font>
    <font>
      <b/>
      <sz val="10"/>
      <color rgb="FF0000FF"/>
      <name val="Arial"/>
      <charset val="1"/>
    </font>
    <font>
      <b/>
      <sz val="13"/>
      <name val="Calibri"/>
      <charset val="1"/>
    </font>
    <font>
      <i/>
      <sz val="9"/>
      <name val="Calibri"/>
      <charset val="1"/>
    </font>
    <font>
      <b/>
      <sz val="11"/>
      <color rgb="FFFFFFFF"/>
      <name val="Calibri"/>
      <charset val="1"/>
    </font>
    <font>
      <sz val="9"/>
      <color rgb="FF7F7F7F"/>
      <name val="Calibri"/>
      <charset val="1"/>
    </font>
    <font>
      <b/>
      <sz val="11"/>
      <name val="Calibri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rgb="FF1F3864"/>
        <bgColor rgb="FF374151"/>
      </patternFill>
    </fill>
    <fill>
      <patternFill patternType="solid">
        <fgColor rgb="FFFFF2CC"/>
        <bgColor rgb="FFFCE4D6"/>
      </patternFill>
    </fill>
    <fill>
      <patternFill patternType="solid">
        <fgColor rgb="FFEDEDED"/>
        <bgColor rgb="FFF2F2F2"/>
      </patternFill>
    </fill>
    <fill>
      <patternFill patternType="solid">
        <fgColor rgb="FFD9E1F2"/>
        <bgColor rgb="FFDCE6F1"/>
      </patternFill>
    </fill>
    <fill>
      <patternFill patternType="solid">
        <fgColor rgb="FFE2EFDA"/>
        <bgColor rgb="FFEBF1DE"/>
      </patternFill>
    </fill>
    <fill>
      <patternFill patternType="solid">
        <fgColor rgb="FFFCE4D6"/>
        <bgColor rgb="FFFFF2CC"/>
      </patternFill>
    </fill>
    <fill>
      <patternFill patternType="solid">
        <fgColor rgb="FFDDEBF7"/>
        <bgColor rgb="FFDCE6F1"/>
      </patternFill>
    </fill>
    <fill>
      <patternFill patternType="solid">
        <fgColor rgb="FFC6EFCE"/>
        <bgColor rgb="FFE2EFDA"/>
      </patternFill>
    </fill>
    <fill>
      <patternFill patternType="solid">
        <fgColor rgb="FFFFFF00"/>
        <bgColor rgb="FFFFEB9C"/>
      </patternFill>
    </fill>
    <fill>
      <patternFill patternType="solid">
        <fgColor rgb="FF374151"/>
        <bgColor rgb="FF404040"/>
      </patternFill>
    </fill>
    <fill>
      <patternFill patternType="solid">
        <fgColor rgb="FF1F2937"/>
        <bgColor rgb="FF1F3864"/>
      </patternFill>
    </fill>
    <fill>
      <patternFill patternType="solid">
        <fgColor rgb="FFECE8FF"/>
        <bgColor rgb="FFEDEDED"/>
      </patternFill>
    </fill>
    <fill>
      <patternFill patternType="solid">
        <fgColor theme="6" tint="0.79989013336588644"/>
        <bgColor rgb="FFE2EFDA"/>
      </patternFill>
    </fill>
    <fill>
      <patternFill patternType="solid">
        <fgColor rgb="FFE5E7EB"/>
        <bgColor rgb="FFDCE6F1"/>
      </patternFill>
    </fill>
    <fill>
      <patternFill patternType="solid">
        <fgColor rgb="FFDCE6F1"/>
        <bgColor rgb="FFD9E1F2"/>
      </patternFill>
    </fill>
    <fill>
      <patternFill patternType="solid">
        <fgColor rgb="FFF2F2F2"/>
        <bgColor rgb="FFEDEDED"/>
      </patternFill>
    </fill>
    <fill>
      <patternFill patternType="solid">
        <fgColor theme="6"/>
        <bgColor rgb="FF92D050"/>
      </patternFill>
    </fill>
    <fill>
      <patternFill patternType="solid">
        <fgColor rgb="FFFFC7CE"/>
        <bgColor rgb="FFFCD5B5"/>
      </patternFill>
    </fill>
    <fill>
      <patternFill patternType="solid">
        <fgColor rgb="FFFFEB9C"/>
        <bgColor rgb="FFFFF2CC"/>
      </patternFill>
    </fill>
    <fill>
      <patternFill patternType="solid">
        <fgColor theme="9" tint="0.59987182226020086"/>
        <bgColor rgb="FFFFC7CE"/>
      </patternFill>
    </fill>
    <fill>
      <patternFill patternType="solid">
        <fgColor theme="8" tint="0.59987182226020086"/>
        <bgColor rgb="FFD1D5DB"/>
      </patternFill>
    </fill>
    <fill>
      <patternFill patternType="solid">
        <fgColor rgb="FF2E75B6"/>
        <bgColor rgb="FF0563C1"/>
      </patternFill>
    </fill>
    <fill>
      <patternFill patternType="solid">
        <fgColor rgb="FF548235"/>
        <bgColor rgb="FF6B7280"/>
      </patternFill>
    </fill>
    <fill>
      <patternFill patternType="solid">
        <fgColor rgb="FFBF8F00"/>
        <bgColor rgb="FFF79646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D1D5DB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55" fillId="0" borderId="0"/>
  </cellStyleXfs>
  <cellXfs count="241">
    <xf numFmtId="0" fontId="0" fillId="0" borderId="0" xfId="0"/>
    <xf numFmtId="0" fontId="52" fillId="25" borderId="7" xfId="0" applyFont="1" applyFill="1" applyBorder="1" applyAlignment="1">
      <alignment horizontal="center" vertical="center" wrapText="1"/>
    </xf>
    <xf numFmtId="0" fontId="52" fillId="24" borderId="7" xfId="0" applyFont="1" applyFill="1" applyBorder="1" applyAlignment="1">
      <alignment horizontal="center" vertical="center" wrapText="1"/>
    </xf>
    <xf numFmtId="0" fontId="52" fillId="23" borderId="7" xfId="0" applyFont="1" applyFill="1" applyBorder="1" applyAlignment="1">
      <alignment horizontal="center" vertical="center" wrapText="1"/>
    </xf>
    <xf numFmtId="0" fontId="52" fillId="2" borderId="7" xfId="0" applyFont="1" applyFill="1" applyBorder="1" applyAlignment="1">
      <alignment horizontal="center" vertical="center" wrapText="1"/>
    </xf>
    <xf numFmtId="0" fontId="23" fillId="11" borderId="0" xfId="0" applyFont="1" applyFill="1" applyAlignment="1">
      <alignment horizontal="center" vertical="center" wrapText="1"/>
    </xf>
    <xf numFmtId="0" fontId="7" fillId="4" borderId="2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164" fontId="4" fillId="0" borderId="1" xfId="0" applyNumberFormat="1" applyFont="1" applyBorder="1"/>
    <xf numFmtId="165" fontId="4" fillId="0" borderId="1" xfId="0" applyNumberFormat="1" applyFont="1" applyBorder="1"/>
    <xf numFmtId="0" fontId="5" fillId="3" borderId="1" xfId="0" applyFon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  <xf numFmtId="0" fontId="5" fillId="0" borderId="0" xfId="0" applyFont="1"/>
    <xf numFmtId="3" fontId="4" fillId="0" borderId="1" xfId="0" applyNumberFormat="1" applyFont="1" applyBorder="1"/>
    <xf numFmtId="0" fontId="6" fillId="0" borderId="0" xfId="0" applyFont="1"/>
    <xf numFmtId="166" fontId="4" fillId="0" borderId="1" xfId="0" applyNumberFormat="1" applyFont="1" applyBorder="1"/>
    <xf numFmtId="0" fontId="7" fillId="3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1" xfId="0" applyFont="1" applyBorder="1"/>
    <xf numFmtId="3" fontId="9" fillId="0" borderId="1" xfId="0" applyNumberFormat="1" applyFont="1" applyBorder="1"/>
    <xf numFmtId="167" fontId="9" fillId="0" borderId="1" xfId="0" applyNumberFormat="1" applyFont="1" applyBorder="1"/>
    <xf numFmtId="167" fontId="10" fillId="0" borderId="1" xfId="0" applyNumberFormat="1" applyFont="1" applyBorder="1"/>
    <xf numFmtId="168" fontId="10" fillId="0" borderId="1" xfId="0" applyNumberFormat="1" applyFont="1" applyBorder="1"/>
    <xf numFmtId="168" fontId="11" fillId="10" borderId="1" xfId="0" applyNumberFormat="1" applyFont="1" applyFill="1" applyBorder="1"/>
    <xf numFmtId="168" fontId="7" fillId="0" borderId="1" xfId="0" applyNumberFormat="1" applyFont="1" applyBorder="1"/>
    <xf numFmtId="168" fontId="9" fillId="0" borderId="1" xfId="0" applyNumberFormat="1" applyFont="1" applyBorder="1"/>
    <xf numFmtId="169" fontId="12" fillId="10" borderId="1" xfId="0" applyNumberFormat="1" applyFont="1" applyFill="1" applyBorder="1"/>
    <xf numFmtId="165" fontId="9" fillId="0" borderId="1" xfId="0" applyNumberFormat="1" applyFont="1" applyBorder="1"/>
    <xf numFmtId="170" fontId="9" fillId="0" borderId="3" xfId="0" applyNumberFormat="1" applyFont="1" applyBorder="1"/>
    <xf numFmtId="168" fontId="9" fillId="0" borderId="3" xfId="0" applyNumberFormat="1" applyFont="1" applyBorder="1"/>
    <xf numFmtId="164" fontId="7" fillId="0" borderId="1" xfId="0" applyNumberFormat="1" applyFont="1" applyBorder="1"/>
    <xf numFmtId="0" fontId="9" fillId="0" borderId="2" xfId="0" applyFont="1" applyBorder="1"/>
    <xf numFmtId="2" fontId="11" fillId="0" borderId="1" xfId="0" applyNumberFormat="1" applyFont="1" applyBorder="1"/>
    <xf numFmtId="164" fontId="13" fillId="0" borderId="1" xfId="0" applyNumberFormat="1" applyFont="1" applyBorder="1"/>
    <xf numFmtId="169" fontId="12" fillId="7" borderId="1" xfId="0" applyNumberFormat="1" applyFont="1" applyFill="1" applyBorder="1"/>
    <xf numFmtId="169" fontId="9" fillId="0" borderId="1" xfId="0" applyNumberFormat="1" applyFont="1" applyBorder="1"/>
    <xf numFmtId="0" fontId="7" fillId="3" borderId="1" xfId="0" applyFont="1" applyFill="1" applyBorder="1"/>
    <xf numFmtId="3" fontId="7" fillId="3" borderId="1" xfId="0" applyNumberFormat="1" applyFont="1" applyFill="1" applyBorder="1"/>
    <xf numFmtId="164" fontId="7" fillId="3" borderId="1" xfId="0" applyNumberFormat="1" applyFont="1" applyFill="1" applyBorder="1"/>
    <xf numFmtId="3" fontId="7" fillId="3" borderId="3" xfId="0" applyNumberFormat="1" applyFont="1" applyFill="1" applyBorder="1"/>
    <xf numFmtId="168" fontId="7" fillId="3" borderId="1" xfId="0" applyNumberFormat="1" applyFont="1" applyFill="1" applyBorder="1"/>
    <xf numFmtId="168" fontId="7" fillId="3" borderId="3" xfId="0" applyNumberFormat="1" applyFont="1" applyFill="1" applyBorder="1"/>
    <xf numFmtId="0" fontId="7" fillId="3" borderId="2" xfId="0" applyFont="1" applyFill="1" applyBorder="1"/>
    <xf numFmtId="166" fontId="7" fillId="3" borderId="1" xfId="0" applyNumberFormat="1" applyFont="1" applyFill="1" applyBorder="1"/>
    <xf numFmtId="0" fontId="15" fillId="0" borderId="0" xfId="0" applyFont="1"/>
    <xf numFmtId="0" fontId="16" fillId="0" borderId="0" xfId="0" applyFont="1"/>
    <xf numFmtId="0" fontId="4" fillId="0" borderId="0" xfId="0" applyFont="1"/>
    <xf numFmtId="0" fontId="17" fillId="10" borderId="0" xfId="0" applyFont="1" applyFill="1"/>
    <xf numFmtId="0" fontId="18" fillId="0" borderId="0" xfId="0" applyFont="1"/>
    <xf numFmtId="171" fontId="17" fillId="10" borderId="0" xfId="0" applyNumberFormat="1" applyFont="1" applyFill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12" borderId="0" xfId="0" applyFont="1" applyFill="1" applyAlignment="1">
      <alignment horizontal="center" vertical="center" wrapText="1"/>
    </xf>
    <xf numFmtId="0" fontId="24" fillId="0" borderId="4" xfId="0" applyFont="1" applyBorder="1"/>
    <xf numFmtId="0" fontId="25" fillId="0" borderId="4" xfId="0" applyFont="1" applyBorder="1"/>
    <xf numFmtId="0" fontId="25" fillId="0" borderId="4" xfId="0" applyFont="1" applyBorder="1" applyAlignment="1">
      <alignment vertical="center" wrapText="1"/>
    </xf>
    <xf numFmtId="172" fontId="25" fillId="0" borderId="4" xfId="0" applyNumberFormat="1" applyFont="1" applyBorder="1"/>
    <xf numFmtId="173" fontId="25" fillId="0" borderId="4" xfId="0" applyNumberFormat="1" applyFont="1" applyBorder="1"/>
    <xf numFmtId="174" fontId="25" fillId="0" borderId="4" xfId="0" applyNumberFormat="1" applyFont="1" applyBorder="1"/>
    <xf numFmtId="2" fontId="25" fillId="0" borderId="4" xfId="0" applyNumberFormat="1" applyFont="1" applyBorder="1"/>
    <xf numFmtId="1" fontId="25" fillId="0" borderId="4" xfId="0" applyNumberFormat="1" applyFont="1" applyBorder="1"/>
    <xf numFmtId="0" fontId="26" fillId="3" borderId="4" xfId="0" applyFont="1" applyFill="1" applyBorder="1"/>
    <xf numFmtId="2" fontId="26" fillId="3" borderId="4" xfId="0" applyNumberFormat="1" applyFont="1" applyFill="1" applyBorder="1"/>
    <xf numFmtId="175" fontId="25" fillId="0" borderId="4" xfId="0" applyNumberFormat="1" applyFont="1" applyBorder="1"/>
    <xf numFmtId="4" fontId="25" fillId="0" borderId="4" xfId="0" applyNumberFormat="1" applyFont="1" applyBorder="1"/>
    <xf numFmtId="3" fontId="27" fillId="0" borderId="4" xfId="0" applyNumberFormat="1" applyFont="1" applyBorder="1"/>
    <xf numFmtId="0" fontId="28" fillId="13" borderId="4" xfId="0" applyFont="1" applyFill="1" applyBorder="1"/>
    <xf numFmtId="0" fontId="25" fillId="13" borderId="4" xfId="0" applyFont="1" applyFill="1" applyBorder="1" applyAlignment="1">
      <alignment vertical="center" wrapText="1"/>
    </xf>
    <xf numFmtId="0" fontId="29" fillId="0" borderId="4" xfId="0" applyFont="1" applyBorder="1"/>
    <xf numFmtId="0" fontId="30" fillId="14" borderId="4" xfId="0" applyFont="1" applyFill="1" applyBorder="1"/>
    <xf numFmtId="3" fontId="25" fillId="0" borderId="4" xfId="0" applyNumberFormat="1" applyFont="1" applyBorder="1"/>
    <xf numFmtId="0" fontId="31" fillId="0" borderId="4" xfId="0" applyFont="1" applyBorder="1"/>
    <xf numFmtId="174" fontId="31" fillId="0" borderId="4" xfId="0" applyNumberFormat="1" applyFont="1" applyBorder="1"/>
    <xf numFmtId="0" fontId="30" fillId="13" borderId="4" xfId="0" applyFont="1" applyFill="1" applyBorder="1"/>
    <xf numFmtId="0" fontId="32" fillId="15" borderId="0" xfId="0" applyFont="1" applyFill="1"/>
    <xf numFmtId="0" fontId="0" fillId="15" borderId="0" xfId="0" applyFill="1"/>
    <xf numFmtId="172" fontId="0" fillId="15" borderId="0" xfId="0" applyNumberFormat="1" applyFill="1"/>
    <xf numFmtId="173" fontId="0" fillId="15" borderId="0" xfId="0" applyNumberFormat="1" applyFill="1"/>
    <xf numFmtId="174" fontId="32" fillId="15" borderId="0" xfId="0" applyNumberFormat="1" applyFont="1" applyFill="1"/>
    <xf numFmtId="2" fontId="32" fillId="15" borderId="0" xfId="0" applyNumberFormat="1" applyFont="1" applyFill="1"/>
    <xf numFmtId="172" fontId="32" fillId="15" borderId="0" xfId="0" applyNumberFormat="1" applyFont="1" applyFill="1"/>
    <xf numFmtId="1" fontId="32" fillId="15" borderId="0" xfId="0" applyNumberFormat="1" applyFont="1" applyFill="1"/>
    <xf numFmtId="2" fontId="0" fillId="15" borderId="0" xfId="0" applyNumberFormat="1" applyFill="1"/>
    <xf numFmtId="175" fontId="0" fillId="15" borderId="0" xfId="0" applyNumberFormat="1" applyFill="1"/>
    <xf numFmtId="4" fontId="32" fillId="15" borderId="0" xfId="0" applyNumberFormat="1" applyFont="1" applyFill="1"/>
    <xf numFmtId="4" fontId="0" fillId="15" borderId="0" xfId="0" applyNumberFormat="1" applyFill="1"/>
    <xf numFmtId="3" fontId="32" fillId="15" borderId="0" xfId="0" applyNumberFormat="1" applyFont="1" applyFill="1"/>
    <xf numFmtId="0" fontId="32" fillId="0" borderId="0" xfId="0" applyFont="1"/>
    <xf numFmtId="3" fontId="32" fillId="0" borderId="0" xfId="0" applyNumberFormat="1" applyFont="1"/>
    <xf numFmtId="166" fontId="32" fillId="0" borderId="0" xfId="0" applyNumberFormat="1" applyFont="1"/>
    <xf numFmtId="1" fontId="32" fillId="0" borderId="0" xfId="0" applyNumberFormat="1" applyFont="1"/>
    <xf numFmtId="0" fontId="25" fillId="0" borderId="0" xfId="0" applyFont="1"/>
    <xf numFmtId="0" fontId="26" fillId="3" borderId="0" xfId="0" applyFont="1" applyFill="1"/>
    <xf numFmtId="0" fontId="33" fillId="0" borderId="0" xfId="0" applyFont="1"/>
    <xf numFmtId="0" fontId="26" fillId="0" borderId="0" xfId="0" applyFont="1"/>
    <xf numFmtId="0" fontId="34" fillId="3" borderId="0" xfId="0" applyFont="1" applyFill="1"/>
    <xf numFmtId="176" fontId="25" fillId="0" borderId="0" xfId="0" applyNumberFormat="1" applyFont="1"/>
    <xf numFmtId="2" fontId="25" fillId="0" borderId="0" xfId="0" applyNumberFormat="1" applyFont="1"/>
    <xf numFmtId="172" fontId="25" fillId="0" borderId="0" xfId="0" applyNumberFormat="1" applyFont="1"/>
    <xf numFmtId="0" fontId="25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0" fontId="36" fillId="0" borderId="0" xfId="0" applyFont="1"/>
    <xf numFmtId="0" fontId="37" fillId="0" borderId="0" xfId="0" applyFont="1"/>
    <xf numFmtId="0" fontId="38" fillId="16" borderId="1" xfId="0" applyFont="1" applyFill="1" applyBorder="1" applyAlignment="1">
      <alignment horizontal="center" vertical="center" wrapText="1"/>
    </xf>
    <xf numFmtId="0" fontId="39" fillId="0" borderId="1" xfId="0" applyFont="1" applyBorder="1"/>
    <xf numFmtId="0" fontId="40" fillId="0" borderId="1" xfId="0" applyFont="1" applyBorder="1"/>
    <xf numFmtId="176" fontId="39" fillId="0" borderId="1" xfId="0" applyNumberFormat="1" applyFont="1" applyBorder="1"/>
    <xf numFmtId="177" fontId="39" fillId="0" borderId="1" xfId="0" applyNumberFormat="1" applyFont="1" applyBorder="1"/>
    <xf numFmtId="2" fontId="39" fillId="0" borderId="1" xfId="0" applyNumberFormat="1" applyFont="1" applyBorder="1"/>
    <xf numFmtId="178" fontId="39" fillId="0" borderId="1" xfId="0" applyNumberFormat="1" applyFont="1" applyBorder="1"/>
    <xf numFmtId="0" fontId="41" fillId="0" borderId="1" xfId="0" applyFont="1" applyBorder="1"/>
    <xf numFmtId="0" fontId="39" fillId="9" borderId="1" xfId="0" applyFont="1" applyFill="1" applyBorder="1"/>
    <xf numFmtId="0" fontId="40" fillId="9" borderId="1" xfId="0" applyFont="1" applyFill="1" applyBorder="1"/>
    <xf numFmtId="176" fontId="39" fillId="9" borderId="1" xfId="0" applyNumberFormat="1" applyFont="1" applyFill="1" applyBorder="1"/>
    <xf numFmtId="177" fontId="39" fillId="9" borderId="1" xfId="0" applyNumberFormat="1" applyFont="1" applyFill="1" applyBorder="1"/>
    <xf numFmtId="2" fontId="39" fillId="9" borderId="1" xfId="0" applyNumberFormat="1" applyFont="1" applyFill="1" applyBorder="1"/>
    <xf numFmtId="178" fontId="39" fillId="9" borderId="1" xfId="0" applyNumberFormat="1" applyFont="1" applyFill="1" applyBorder="1"/>
    <xf numFmtId="0" fontId="41" fillId="9" borderId="1" xfId="0" applyFont="1" applyFill="1" applyBorder="1"/>
    <xf numFmtId="178" fontId="0" fillId="9" borderId="1" xfId="0" applyNumberFormat="1" applyFill="1" applyBorder="1"/>
    <xf numFmtId="179" fontId="0" fillId="9" borderId="1" xfId="0" applyNumberFormat="1" applyFill="1" applyBorder="1"/>
    <xf numFmtId="0" fontId="42" fillId="9" borderId="1" xfId="0" applyFont="1" applyFill="1" applyBorder="1"/>
    <xf numFmtId="0" fontId="39" fillId="3" borderId="1" xfId="0" applyFont="1" applyFill="1" applyBorder="1"/>
    <xf numFmtId="0" fontId="40" fillId="3" borderId="1" xfId="0" applyFont="1" applyFill="1" applyBorder="1"/>
    <xf numFmtId="176" fontId="39" fillId="3" borderId="1" xfId="0" applyNumberFormat="1" applyFont="1" applyFill="1" applyBorder="1"/>
    <xf numFmtId="177" fontId="39" fillId="3" borderId="1" xfId="0" applyNumberFormat="1" applyFont="1" applyFill="1" applyBorder="1"/>
    <xf numFmtId="2" fontId="39" fillId="3" borderId="1" xfId="0" applyNumberFormat="1" applyFont="1" applyFill="1" applyBorder="1"/>
    <xf numFmtId="178" fontId="39" fillId="3" borderId="1" xfId="0" applyNumberFormat="1" applyFont="1" applyFill="1" applyBorder="1"/>
    <xf numFmtId="0" fontId="38" fillId="17" borderId="1" xfId="0" applyFont="1" applyFill="1" applyBorder="1"/>
    <xf numFmtId="176" fontId="38" fillId="17" borderId="1" xfId="0" applyNumberFormat="1" applyFont="1" applyFill="1" applyBorder="1"/>
    <xf numFmtId="177" fontId="38" fillId="17" borderId="1" xfId="0" applyNumberFormat="1" applyFont="1" applyFill="1" applyBorder="1"/>
    <xf numFmtId="2" fontId="38" fillId="17" borderId="1" xfId="0" applyNumberFormat="1" applyFont="1" applyFill="1" applyBorder="1"/>
    <xf numFmtId="178" fontId="38" fillId="17" borderId="1" xfId="0" applyNumberFormat="1" applyFont="1" applyFill="1" applyBorder="1"/>
    <xf numFmtId="0" fontId="43" fillId="0" borderId="0" xfId="0" applyFont="1"/>
    <xf numFmtId="3" fontId="38" fillId="0" borderId="0" xfId="0" applyNumberFormat="1" applyFont="1"/>
    <xf numFmtId="0" fontId="38" fillId="0" borderId="0" xfId="0" applyFont="1"/>
    <xf numFmtId="176" fontId="0" fillId="0" borderId="0" xfId="0" applyNumberFormat="1"/>
    <xf numFmtId="177" fontId="0" fillId="0" borderId="0" xfId="0" applyNumberFormat="1"/>
    <xf numFmtId="2" fontId="0" fillId="0" borderId="0" xfId="0" applyNumberFormat="1"/>
    <xf numFmtId="178" fontId="38" fillId="0" borderId="0" xfId="0" applyNumberFormat="1" applyFont="1"/>
    <xf numFmtId="0" fontId="38" fillId="3" borderId="0" xfId="0" applyFont="1" applyFill="1"/>
    <xf numFmtId="0" fontId="0" fillId="3" borderId="0" xfId="0" applyFill="1"/>
    <xf numFmtId="176" fontId="0" fillId="3" borderId="0" xfId="0" applyNumberFormat="1" applyFill="1"/>
    <xf numFmtId="177" fontId="0" fillId="3" borderId="0" xfId="0" applyNumberFormat="1" applyFill="1"/>
    <xf numFmtId="2" fontId="0" fillId="3" borderId="0" xfId="0" applyNumberFormat="1" applyFill="1"/>
    <xf numFmtId="178" fontId="38" fillId="3" borderId="0" xfId="0" applyNumberFormat="1" applyFont="1" applyFill="1"/>
    <xf numFmtId="172" fontId="40" fillId="0" borderId="1" xfId="0" applyNumberFormat="1" applyFont="1" applyBorder="1"/>
    <xf numFmtId="180" fontId="40" fillId="0" borderId="1" xfId="0" applyNumberFormat="1" applyFont="1" applyBorder="1"/>
    <xf numFmtId="180" fontId="39" fillId="0" borderId="1" xfId="0" applyNumberFormat="1" applyFont="1" applyBorder="1"/>
    <xf numFmtId="2" fontId="18" fillId="0" borderId="1" xfId="0" applyNumberFormat="1" applyFont="1" applyBorder="1"/>
    <xf numFmtId="4" fontId="39" fillId="0" borderId="1" xfId="0" applyNumberFormat="1" applyFont="1" applyBorder="1"/>
    <xf numFmtId="172" fontId="40" fillId="9" borderId="1" xfId="0" applyNumberFormat="1" applyFont="1" applyFill="1" applyBorder="1"/>
    <xf numFmtId="180" fontId="40" fillId="9" borderId="1" xfId="0" applyNumberFormat="1" applyFont="1" applyFill="1" applyBorder="1"/>
    <xf numFmtId="180" fontId="39" fillId="9" borderId="1" xfId="0" applyNumberFormat="1" applyFont="1" applyFill="1" applyBorder="1"/>
    <xf numFmtId="2" fontId="18" fillId="9" borderId="1" xfId="0" applyNumberFormat="1" applyFont="1" applyFill="1" applyBorder="1"/>
    <xf numFmtId="4" fontId="39" fillId="9" borderId="1" xfId="0" applyNumberFormat="1" applyFont="1" applyFill="1" applyBorder="1"/>
    <xf numFmtId="0" fontId="42" fillId="9" borderId="1" xfId="0" applyFont="1" applyFill="1" applyBorder="1" applyAlignment="1">
      <alignment vertical="top" wrapText="1"/>
    </xf>
    <xf numFmtId="0" fontId="39" fillId="7" borderId="1" xfId="0" applyFont="1" applyFill="1" applyBorder="1"/>
    <xf numFmtId="172" fontId="40" fillId="7" borderId="1" xfId="0" applyNumberFormat="1" applyFont="1" applyFill="1" applyBorder="1"/>
    <xf numFmtId="180" fontId="40" fillId="7" borderId="1" xfId="0" applyNumberFormat="1" applyFont="1" applyFill="1" applyBorder="1"/>
    <xf numFmtId="180" fontId="39" fillId="7" borderId="1" xfId="0" applyNumberFormat="1" applyFont="1" applyFill="1" applyBorder="1"/>
    <xf numFmtId="177" fontId="39" fillId="7" borderId="1" xfId="0" applyNumberFormat="1" applyFont="1" applyFill="1" applyBorder="1"/>
    <xf numFmtId="2" fontId="18" fillId="7" borderId="1" xfId="0" applyNumberFormat="1" applyFont="1" applyFill="1" applyBorder="1"/>
    <xf numFmtId="4" fontId="39" fillId="7" borderId="1" xfId="0" applyNumberFormat="1" applyFont="1" applyFill="1" applyBorder="1"/>
    <xf numFmtId="2" fontId="39" fillId="7" borderId="1" xfId="0" applyNumberFormat="1" applyFont="1" applyFill="1" applyBorder="1"/>
    <xf numFmtId="172" fontId="40" fillId="3" borderId="1" xfId="0" applyNumberFormat="1" applyFont="1" applyFill="1" applyBorder="1"/>
    <xf numFmtId="180" fontId="40" fillId="3" borderId="1" xfId="0" applyNumberFormat="1" applyFont="1" applyFill="1" applyBorder="1"/>
    <xf numFmtId="180" fontId="39" fillId="3" borderId="1" xfId="0" applyNumberFormat="1" applyFont="1" applyFill="1" applyBorder="1"/>
    <xf numFmtId="2" fontId="18" fillId="3" borderId="1" xfId="0" applyNumberFormat="1" applyFont="1" applyFill="1" applyBorder="1"/>
    <xf numFmtId="4" fontId="39" fillId="3" borderId="1" xfId="0" applyNumberFormat="1" applyFont="1" applyFill="1" applyBorder="1"/>
    <xf numFmtId="0" fontId="42" fillId="0" borderId="1" xfId="0" applyFont="1" applyBorder="1" applyAlignment="1">
      <alignment vertical="top" wrapText="1"/>
    </xf>
    <xf numFmtId="0" fontId="39" fillId="0" borderId="0" xfId="0" applyFont="1"/>
    <xf numFmtId="180" fontId="18" fillId="10" borderId="1" xfId="0" applyNumberFormat="1" applyFont="1" applyFill="1" applyBorder="1"/>
    <xf numFmtId="2" fontId="40" fillId="10" borderId="1" xfId="0" applyNumberFormat="1" applyFont="1" applyFill="1" applyBorder="1"/>
    <xf numFmtId="180" fontId="40" fillId="10" borderId="1" xfId="0" applyNumberFormat="1" applyFont="1" applyFill="1" applyBorder="1"/>
    <xf numFmtId="177" fontId="40" fillId="10" borderId="1" xfId="0" applyNumberFormat="1" applyFont="1" applyFill="1" applyBorder="1"/>
    <xf numFmtId="0" fontId="42" fillId="0" borderId="0" xfId="0" applyFont="1"/>
    <xf numFmtId="0" fontId="25" fillId="0" borderId="1" xfId="0" applyFont="1" applyBorder="1" applyAlignment="1">
      <alignment vertical="top"/>
    </xf>
    <xf numFmtId="4" fontId="25" fillId="0" borderId="1" xfId="0" applyNumberFormat="1" applyFont="1" applyBorder="1" applyAlignment="1">
      <alignment vertical="top"/>
    </xf>
    <xf numFmtId="181" fontId="25" fillId="0" borderId="1" xfId="0" applyNumberFormat="1" applyFont="1" applyBorder="1" applyAlignment="1">
      <alignment vertical="top"/>
    </xf>
    <xf numFmtId="179" fontId="38" fillId="0" borderId="0" xfId="0" applyNumberFormat="1" applyFont="1"/>
    <xf numFmtId="182" fontId="0" fillId="0" borderId="0" xfId="0" applyNumberFormat="1"/>
    <xf numFmtId="0" fontId="5" fillId="16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vertical="center" wrapText="1"/>
    </xf>
    <xf numFmtId="182" fontId="5" fillId="18" borderId="5" xfId="0" applyNumberFormat="1" applyFont="1" applyFill="1" applyBorder="1" applyAlignment="1">
      <alignment vertical="center" wrapText="1"/>
    </xf>
    <xf numFmtId="0" fontId="5" fillId="18" borderId="5" xfId="0" applyFont="1" applyFill="1" applyBorder="1" applyAlignment="1">
      <alignment vertical="center" wrapText="1"/>
    </xf>
    <xf numFmtId="0" fontId="4" fillId="9" borderId="1" xfId="0" applyFont="1" applyFill="1" applyBorder="1"/>
    <xf numFmtId="178" fontId="0" fillId="0" borderId="0" xfId="0" applyNumberFormat="1"/>
    <xf numFmtId="0" fontId="4" fillId="19" borderId="1" xfId="0" applyFont="1" applyFill="1" applyBorder="1"/>
    <xf numFmtId="0" fontId="4" fillId="20" borderId="1" xfId="0" applyFont="1" applyFill="1" applyBorder="1"/>
    <xf numFmtId="0" fontId="4" fillId="21" borderId="1" xfId="0" applyFont="1" applyFill="1" applyBorder="1"/>
    <xf numFmtId="0" fontId="4" fillId="22" borderId="1" xfId="0" applyFont="1" applyFill="1" applyBorder="1"/>
    <xf numFmtId="178" fontId="4" fillId="0" borderId="5" xfId="0" applyNumberFormat="1" applyFont="1" applyBorder="1"/>
    <xf numFmtId="0" fontId="44" fillId="0" borderId="0" xfId="0" applyFont="1"/>
    <xf numFmtId="0" fontId="8" fillId="2" borderId="1" xfId="0" applyFont="1" applyFill="1" applyBorder="1" applyAlignment="1">
      <alignment wrapText="1"/>
    </xf>
    <xf numFmtId="0" fontId="45" fillId="0" borderId="0" xfId="0" applyFont="1"/>
    <xf numFmtId="4" fontId="46" fillId="3" borderId="1" xfId="0" applyNumberFormat="1" applyFont="1" applyFill="1" applyBorder="1"/>
    <xf numFmtId="0" fontId="47" fillId="3" borderId="0" xfId="0" applyFont="1" applyFill="1"/>
    <xf numFmtId="0" fontId="48" fillId="0" borderId="0" xfId="0" applyFont="1"/>
    <xf numFmtId="0" fontId="25" fillId="0" borderId="6" xfId="0" applyFont="1" applyBorder="1"/>
    <xf numFmtId="2" fontId="25" fillId="0" borderId="6" xfId="0" applyNumberFormat="1" applyFont="1" applyBorder="1"/>
    <xf numFmtId="0" fontId="29" fillId="0" borderId="6" xfId="0" applyFont="1" applyBorder="1"/>
    <xf numFmtId="0" fontId="49" fillId="3" borderId="6" xfId="0" applyFont="1" applyFill="1" applyBorder="1"/>
    <xf numFmtId="0" fontId="25" fillId="3" borderId="6" xfId="0" applyFont="1" applyFill="1" applyBorder="1"/>
    <xf numFmtId="0" fontId="50" fillId="0" borderId="0" xfId="0" applyFont="1"/>
    <xf numFmtId="0" fontId="51" fillId="0" borderId="0" xfId="0" applyFont="1"/>
    <xf numFmtId="0" fontId="52" fillId="23" borderId="7" xfId="0" applyFont="1" applyFill="1" applyBorder="1" applyAlignment="1">
      <alignment horizontal="center" vertical="center" wrapText="1"/>
    </xf>
    <xf numFmtId="0" fontId="52" fillId="24" borderId="7" xfId="0" applyFont="1" applyFill="1" applyBorder="1" applyAlignment="1">
      <alignment horizontal="center" vertical="center" wrapText="1"/>
    </xf>
    <xf numFmtId="0" fontId="52" fillId="25" borderId="7" xfId="0" applyFont="1" applyFill="1" applyBorder="1" applyAlignment="1">
      <alignment horizontal="center" vertical="center" wrapText="1"/>
    </xf>
    <xf numFmtId="0" fontId="52" fillId="25" borderId="0" xfId="0" applyFont="1" applyFill="1" applyAlignment="1">
      <alignment horizontal="center" vertical="center" wrapText="1"/>
    </xf>
    <xf numFmtId="49" fontId="0" fillId="0" borderId="7" xfId="0" applyNumberFormat="1" applyBorder="1"/>
    <xf numFmtId="0" fontId="0" fillId="0" borderId="7" xfId="0" applyBorder="1"/>
    <xf numFmtId="4" fontId="0" fillId="0" borderId="7" xfId="0" applyNumberFormat="1" applyBorder="1"/>
    <xf numFmtId="2" fontId="0" fillId="0" borderId="7" xfId="0" applyNumberFormat="1" applyBorder="1"/>
    <xf numFmtId="183" fontId="0" fillId="0" borderId="7" xfId="0" applyNumberFormat="1" applyBorder="1"/>
    <xf numFmtId="0" fontId="53" fillId="0" borderId="7" xfId="0" applyFont="1" applyBorder="1" applyAlignment="1">
      <alignment vertical="center" wrapText="1"/>
    </xf>
    <xf numFmtId="4" fontId="0" fillId="0" borderId="0" xfId="0" applyNumberFormat="1"/>
    <xf numFmtId="184" fontId="0" fillId="0" borderId="0" xfId="0" applyNumberFormat="1"/>
    <xf numFmtId="0" fontId="0" fillId="5" borderId="7" xfId="0" applyFill="1" applyBorder="1"/>
    <xf numFmtId="0" fontId="54" fillId="5" borderId="7" xfId="0" applyFont="1" applyFill="1" applyBorder="1"/>
    <xf numFmtId="170" fontId="54" fillId="5" borderId="7" xfId="0" applyNumberFormat="1" applyFont="1" applyFill="1" applyBorder="1"/>
    <xf numFmtId="185" fontId="0" fillId="5" borderId="7" xfId="0" applyNumberFormat="1" applyFill="1" applyBorder="1"/>
    <xf numFmtId="183" fontId="54" fillId="5" borderId="7" xfId="0" applyNumberFormat="1" applyFont="1" applyFill="1" applyBorder="1"/>
    <xf numFmtId="0" fontId="0" fillId="5" borderId="0" xfId="0" applyFill="1"/>
    <xf numFmtId="0" fontId="9" fillId="26" borderId="1" xfId="0" applyFont="1" applyFill="1" applyBorder="1"/>
    <xf numFmtId="0" fontId="56" fillId="9" borderId="1" xfId="0" applyFont="1" applyFill="1" applyBorder="1" applyAlignment="1">
      <alignment horizontal="center"/>
    </xf>
    <xf numFmtId="49" fontId="29" fillId="0" borderId="4" xfId="0" applyNumberFormat="1" applyFont="1" applyBorder="1"/>
    <xf numFmtId="0" fontId="9" fillId="27" borderId="1" xfId="0" applyFont="1" applyFill="1" applyBorder="1"/>
  </cellXfs>
  <cellStyles count="2">
    <cellStyle name="Normal" xfId="0" builtinId="0"/>
    <cellStyle name="Normal 2" xfId="1" xr:uid="{00000000-0005-0000-0000-000006000000}"/>
  </cellStyles>
  <dxfs count="2">
    <dxf>
      <font>
        <b/>
        <sz val="10"/>
        <color rgb="FFC2410C"/>
        <name val="Arial"/>
        <charset val="1"/>
      </font>
    </dxf>
    <dxf>
      <font>
        <b/>
        <sz val="10"/>
        <color rgb="FFC2410C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EDEDED"/>
      <rgbColor rgb="FF800000"/>
      <rgbColor rgb="FF008000"/>
      <rgbColor rgb="FF000080"/>
      <rgbColor rgb="FF548235"/>
      <rgbColor rgb="FF6A4CFF"/>
      <rgbColor rgb="FF008080"/>
      <rgbColor rgb="FFBFBFBF"/>
      <rgbColor rgb="FF7F7F7F"/>
      <rgbColor rgb="FF9BBB59"/>
      <rgbColor rgb="FF9C5700"/>
      <rgbColor rgb="FFFFF2CC"/>
      <rgbColor rgb="FFDDEBF7"/>
      <rgbColor rgb="FF660066"/>
      <rgbColor rgb="FFE5E7EB"/>
      <rgbColor rgb="FF0563C1"/>
      <rgbColor rgb="FFD1D5DB"/>
      <rgbColor rgb="FF000080"/>
      <rgbColor rgb="FFFF00FF"/>
      <rgbColor rgb="FFEBF1DE"/>
      <rgbColor rgb="FFF2F2F2"/>
      <rgbColor rgb="FF800080"/>
      <rgbColor rgb="FF800000"/>
      <rgbColor rgb="FF008080"/>
      <rgbColor rgb="FF0000FF"/>
      <rgbColor rgb="FF00CCFF"/>
      <rgbColor rgb="FFE2EFDA"/>
      <rgbColor rgb="FFC6EFCE"/>
      <rgbColor rgb="FFFFEB9C"/>
      <rgbColor rgb="FFB7DEE8"/>
      <rgbColor rgb="FFFFC7CE"/>
      <rgbColor rgb="FFD9E1F2"/>
      <rgbColor rgb="FFFCD5B5"/>
      <rgbColor rgb="FF2E75B6"/>
      <rgbColor rgb="FFDCE6F1"/>
      <rgbColor rgb="FF92D050"/>
      <rgbColor rgb="FFFCE4D6"/>
      <rgbColor rgb="FFF79646"/>
      <rgbColor rgb="FFBF8F00"/>
      <rgbColor rgb="FF6B7280"/>
      <rgbColor rgb="FF999999"/>
      <rgbColor rgb="FF1F3864"/>
      <rgbColor rgb="FFECE8FF"/>
      <rgbColor rgb="FF003300"/>
      <rgbColor rgb="FF1F2937"/>
      <rgbColor rgb="FFC2410C"/>
      <rgbColor rgb="FF595959"/>
      <rgbColor rgb="FF374151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7A1BD3E-CC1F-4E3F-B3D5-8B40C7CA89AF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f5b565ba-a7be-4160-97c6-4f95e4274be7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zoomScaleNormal="100" workbookViewId="0">
      <selection activeCell="S3" sqref="S3:W3"/>
    </sheetView>
  </sheetViews>
  <sheetFormatPr defaultColWidth="8.7109375" defaultRowHeight="15" x14ac:dyDescent="0.25"/>
  <cols>
    <col min="1" max="1" width="38" customWidth="1"/>
    <col min="2" max="8" width="14" customWidth="1"/>
  </cols>
  <sheetData>
    <row r="1" spans="1:8" ht="18" customHeight="1" x14ac:dyDescent="0.25">
      <c r="A1" s="13" t="s">
        <v>0</v>
      </c>
    </row>
    <row r="2" spans="1:8" ht="15" customHeight="1" x14ac:dyDescent="0.25">
      <c r="A2" s="14" t="s">
        <v>1</v>
      </c>
    </row>
    <row r="4" spans="1:8" ht="15" customHeight="1" x14ac:dyDescent="0.25">
      <c r="A4" s="15" t="s">
        <v>2</v>
      </c>
      <c r="B4" s="15" t="s">
        <v>3</v>
      </c>
      <c r="C4" s="15" t="s">
        <v>4</v>
      </c>
    </row>
    <row r="5" spans="1:8" ht="15" customHeight="1" x14ac:dyDescent="0.25">
      <c r="A5" s="16" t="s">
        <v>5</v>
      </c>
      <c r="B5" s="17">
        <f>SUMPRODUCT('Maliyet Analizi'!$J$5:$J$199,'Maliyet Analizi'!$F$5:$F$199)</f>
        <v>50365.114830488325</v>
      </c>
      <c r="C5" s="18">
        <f t="shared" ref="C5:C13" si="0">IF($B$13=0,0,B5/$B$13)</f>
        <v>0.24339953416183224</v>
      </c>
    </row>
    <row r="6" spans="1:8" ht="15" customHeight="1" x14ac:dyDescent="0.25">
      <c r="A6" s="16" t="s">
        <v>6</v>
      </c>
      <c r="B6" s="17">
        <f>SUMPRODUCT('Maliyet Analizi'!$K$5:$K$199,'Maliyet Analizi'!$F$5:$F$199)</f>
        <v>17860.026727272721</v>
      </c>
      <c r="C6" s="18">
        <f t="shared" si="0"/>
        <v>8.6312166668674806E-2</v>
      </c>
    </row>
    <row r="7" spans="1:8" ht="15" customHeight="1" x14ac:dyDescent="0.25">
      <c r="A7" s="19" t="s">
        <v>7</v>
      </c>
      <c r="B7" s="20">
        <f>B5+B6</f>
        <v>68225.141557761046</v>
      </c>
      <c r="C7" s="21">
        <f t="shared" si="0"/>
        <v>0.32971170083050705</v>
      </c>
    </row>
    <row r="8" spans="1:8" ht="15" customHeight="1" x14ac:dyDescent="0.25">
      <c r="A8" s="16" t="s">
        <v>8</v>
      </c>
      <c r="B8" s="17">
        <f>SUMPRODUCT('Maliyet Analizi'!$M$5:$M$199,'Maliyet Analizi'!$F$5:$F$199)</f>
        <v>14971.769500000008</v>
      </c>
      <c r="C8" s="18">
        <f t="shared" si="0"/>
        <v>7.2354083459219579E-2</v>
      </c>
    </row>
    <row r="9" spans="1:8" ht="15" customHeight="1" x14ac:dyDescent="0.25">
      <c r="A9" s="16" t="s">
        <v>9</v>
      </c>
      <c r="B9" s="17">
        <f>SUMPRODUCT('Maliyet Analizi'!$N$5:$N$199,'Maliyet Analizi'!$F$5:$F$199)</f>
        <v>26654.927499999983</v>
      </c>
      <c r="C9" s="18">
        <f t="shared" si="0"/>
        <v>0.12881529126763841</v>
      </c>
    </row>
    <row r="10" spans="1:8" ht="15" customHeight="1" x14ac:dyDescent="0.25">
      <c r="A10" s="16" t="s">
        <v>10</v>
      </c>
      <c r="B10" s="17">
        <f>SUMPRODUCT('Maliyet Analizi'!$O$5:$O$199,'Maliyet Analizi'!$F$5:$F$199)</f>
        <v>18562.648799999999</v>
      </c>
      <c r="C10" s="18">
        <f t="shared" si="0"/>
        <v>8.9707728969470268E-2</v>
      </c>
    </row>
    <row r="11" spans="1:8" ht="15" customHeight="1" x14ac:dyDescent="0.25">
      <c r="A11" s="19" t="s">
        <v>11</v>
      </c>
      <c r="B11" s="20">
        <f>B8+B9+B10</f>
        <v>60189.345799999996</v>
      </c>
      <c r="C11" s="21">
        <f t="shared" si="0"/>
        <v>0.2908771036963283</v>
      </c>
    </row>
    <row r="12" spans="1:8" ht="15" customHeight="1" x14ac:dyDescent="0.25">
      <c r="A12" s="16" t="s">
        <v>12</v>
      </c>
      <c r="B12" s="17">
        <f>SUM('Maliyet Analizi'!$AH$5:$AH$199)-B7-B11</f>
        <v>78509.141333333348</v>
      </c>
      <c r="C12" s="18">
        <f t="shared" si="0"/>
        <v>0.3794111954731646</v>
      </c>
    </row>
    <row r="13" spans="1:8" ht="15" customHeight="1" x14ac:dyDescent="0.25">
      <c r="A13" s="19" t="s">
        <v>13</v>
      </c>
      <c r="B13" s="20">
        <f>B7+B11+B12</f>
        <v>206923.6286910944</v>
      </c>
      <c r="C13" s="21">
        <f t="shared" si="0"/>
        <v>1</v>
      </c>
    </row>
    <row r="15" spans="1:8" ht="15" customHeight="1" x14ac:dyDescent="0.25">
      <c r="A15" s="22" t="s">
        <v>14</v>
      </c>
    </row>
    <row r="16" spans="1:8" ht="15" customHeight="1" x14ac:dyDescent="0.25">
      <c r="A16" s="15" t="s">
        <v>15</v>
      </c>
      <c r="B16" s="15" t="s">
        <v>16</v>
      </c>
      <c r="C16" s="15" t="s">
        <v>17</v>
      </c>
      <c r="D16" s="15" t="s">
        <v>18</v>
      </c>
      <c r="E16" s="15" t="s">
        <v>19</v>
      </c>
      <c r="F16" s="15" t="s">
        <v>20</v>
      </c>
      <c r="G16" s="15" t="s">
        <v>21</v>
      </c>
      <c r="H16" s="15" t="s">
        <v>4</v>
      </c>
    </row>
    <row r="17" spans="1:8" ht="15" customHeight="1" x14ac:dyDescent="0.25">
      <c r="A17" s="18" t="s">
        <v>22</v>
      </c>
      <c r="B17" s="23">
        <f>COUNTIF('Maliyet Analizi'!$D$5:$D$199,"STEP")</f>
        <v>58</v>
      </c>
      <c r="C17" s="23">
        <f>SUMIF('Maliyet Analizi'!$D$5:$D$199,"STEP",'Maliyet Analizi'!$F$5:$F$199)</f>
        <v>1820</v>
      </c>
      <c r="D17" s="17">
        <f>SUMPRODUCT('Maliyet Analizi'!$L$5:$L$199,'Maliyet Analizi'!$F$5:$F$199,--('Maliyet Analizi'!$D$5:$D$199="STEP"))</f>
        <v>55703.164309633416</v>
      </c>
      <c r="E17" s="17">
        <f>SUMPRODUCT('Maliyet Analizi'!$P$5:$P$199,'Maliyet Analizi'!$F$5:$F$199,--('Maliyet Analizi'!$D$5:$D$199="STEP"))</f>
        <v>28592.234550000005</v>
      </c>
      <c r="F17" s="17">
        <f>G17-D17-E17</f>
        <v>41493.639999999985</v>
      </c>
      <c r="G17" s="17">
        <f>SUMIF('Maliyet Analizi'!$D$5:$D$199,"STEP",'Maliyet Analizi'!$AH$5:$AH$199)</f>
        <v>125789.03885963341</v>
      </c>
      <c r="H17" s="18">
        <f>IF($B$13=0,0,G17/$B$13)</f>
        <v>0.60790079729085633</v>
      </c>
    </row>
    <row r="18" spans="1:8" ht="15" customHeight="1" x14ac:dyDescent="0.25">
      <c r="A18" s="18" t="s">
        <v>23</v>
      </c>
      <c r="B18" s="23">
        <f>COUNTIF('Maliyet Analizi'!$D$5:$D$199,"Resimden tahmin")</f>
        <v>137</v>
      </c>
      <c r="C18" s="23">
        <f>SUMIF('Maliyet Analizi'!$D$5:$D$199,"Resimden tahmin",'Maliyet Analizi'!$F$5:$F$199)</f>
        <v>6043</v>
      </c>
      <c r="D18" s="17">
        <f>SUMPRODUCT('Maliyet Analizi'!$L$5:$L$199,'Maliyet Analizi'!$F$5:$F$199,--('Maliyet Analizi'!$D$5:$D$199="Resimden tahmin"))</f>
        <v>12521.97724812768</v>
      </c>
      <c r="E18" s="17">
        <f>SUMPRODUCT('Maliyet Analizi'!$P$5:$P$199,'Maliyet Analizi'!$F$5:$F$199,--('Maliyet Analizi'!$D$5:$D$199="Resimden tahmin"))</f>
        <v>31597.111250000024</v>
      </c>
      <c r="F18" s="17">
        <f>G18-D18-E18</f>
        <v>37015.501333333283</v>
      </c>
      <c r="G18" s="17">
        <f>SUMIF('Maliyet Analizi'!$D$5:$D$199,"Resimden tahmin",'Maliyet Analizi'!$AH$5:$AH$199)</f>
        <v>81134.58983146098</v>
      </c>
      <c r="H18" s="18">
        <f>IF($B$13=0,0,G18/$B$13)</f>
        <v>0.39209920270914356</v>
      </c>
    </row>
    <row r="19" spans="1:8" ht="15" customHeight="1" x14ac:dyDescent="0.25">
      <c r="A19" s="18" t="s">
        <v>24</v>
      </c>
      <c r="B19" s="23">
        <f>COUNTIF('Maliyet Analizi'!$E$5:$E$199,"Yaş boya")</f>
        <v>120</v>
      </c>
      <c r="C19" s="23">
        <f>SUMIF('Maliyet Analizi'!$E$5:$E$199,"Yaş boya",'Maliyet Analizi'!$F$5:$F$199)</f>
        <v>4345</v>
      </c>
      <c r="D19" s="17">
        <f>SUMPRODUCT('Maliyet Analizi'!$L$5:$L$199,'Maliyet Analizi'!$F$5:$F$199,--('Maliyet Analizi'!$E$5:$E$199="Yaş boya"))</f>
        <v>44089.460113927147</v>
      </c>
      <c r="E19" s="17">
        <f>SUMPRODUCT('Maliyet Analizi'!$P$5:$P$199,'Maliyet Analizi'!$F$5:$F$199,--('Maliyet Analizi'!$E$5:$E$199="Yaş boya"))</f>
        <v>34684.237299999979</v>
      </c>
      <c r="F19" s="17">
        <f>G19-D19-E19</f>
        <v>66160</v>
      </c>
      <c r="G19" s="17">
        <f>SUMIF('Maliyet Analizi'!$E$5:$E$199,"Yaş boya",'Maliyet Analizi'!$AH$5:$AH$199)</f>
        <v>144933.69741392712</v>
      </c>
      <c r="H19" s="18">
        <f>IF($B$13=0,0,G19/$B$13)</f>
        <v>0.70042120530512808</v>
      </c>
    </row>
    <row r="20" spans="1:8" ht="15" customHeight="1" x14ac:dyDescent="0.25">
      <c r="A20" s="18" t="s">
        <v>25</v>
      </c>
      <c r="B20" s="23">
        <f>COUNTIF('Maliyet Analizi'!$E$5:$E$199,"Kataforez")</f>
        <v>17</v>
      </c>
      <c r="C20" s="23">
        <f>SUMIF('Maliyet Analizi'!$E$5:$E$199,"Kataforez",'Maliyet Analizi'!$F$5:$F$199)</f>
        <v>1865</v>
      </c>
      <c r="D20" s="17">
        <f>SUMPRODUCT('Maliyet Analizi'!$L$5:$L$199,'Maliyet Analizi'!$F$5:$F$199,--('Maliyet Analizi'!$E$5:$E$199="Kataforez"))</f>
        <v>14746.594158102225</v>
      </c>
      <c r="E20" s="17">
        <f>SUMPRODUCT('Maliyet Analizi'!$P$5:$P$199,'Maliyet Analizi'!$F$5:$F$199,--('Maliyet Analizi'!$E$5:$E$199="Kataforez"))</f>
        <v>16124.366749999997</v>
      </c>
      <c r="F20" s="17">
        <f>G20-D20-E20</f>
        <v>12349.141333333337</v>
      </c>
      <c r="G20" s="17">
        <f>SUMIF('Maliyet Analizi'!$E$5:$E$199,"Kataforez",'Maliyet Analizi'!$AH$5:$AH$199)</f>
        <v>43220.102241435561</v>
      </c>
      <c r="H20" s="18">
        <f>IF($B$13=0,0,G20/$B$13)</f>
        <v>0.20886982562033368</v>
      </c>
    </row>
    <row r="21" spans="1:8" ht="15" customHeight="1" x14ac:dyDescent="0.25">
      <c r="A21" s="18" t="s">
        <v>26</v>
      </c>
      <c r="B21" s="23">
        <f>COUNTIF('Maliyet Analizi'!$E$5:$E$199,"Yok")</f>
        <v>58</v>
      </c>
      <c r="C21" s="23">
        <f>SUMIF('Maliyet Analizi'!$E$5:$E$199,"Yok",'Maliyet Analizi'!$F$5:$F$199)</f>
        <v>1653</v>
      </c>
      <c r="D21" s="17">
        <f>SUMPRODUCT('Maliyet Analizi'!$L$5:$L$199,'Maliyet Analizi'!$F$5:$F$199,--('Maliyet Analizi'!$E$5:$E$199="Yok"))</f>
        <v>9389.0872857317245</v>
      </c>
      <c r="E21" s="17">
        <f>SUMPRODUCT('Maliyet Analizi'!$P$5:$P$199,'Maliyet Analizi'!$F$5:$F$199,--('Maliyet Analizi'!$E$5:$E$199="Yok"))</f>
        <v>9380.7417500000029</v>
      </c>
      <c r="F21" s="17">
        <f>G21-D21-E21</f>
        <v>1.4551915228366852E-11</v>
      </c>
      <c r="G21" s="17">
        <f>SUMIF('Maliyet Analizi'!$E$5:$E$199,"Yok",'Maliyet Analizi'!$AH$5:$AH$199)</f>
        <v>18769.829035731742</v>
      </c>
      <c r="H21" s="18">
        <f>IF($B$13=0,0,G21/$B$13)</f>
        <v>9.0708969074538362E-2</v>
      </c>
    </row>
    <row r="22" spans="1:8" ht="15" customHeight="1" x14ac:dyDescent="0.25">
      <c r="A22" s="24" t="s">
        <v>27</v>
      </c>
    </row>
    <row r="24" spans="1:8" ht="15" customHeight="1" x14ac:dyDescent="0.25">
      <c r="A24" s="22" t="s">
        <v>28</v>
      </c>
    </row>
    <row r="25" spans="1:8" ht="15" customHeight="1" x14ac:dyDescent="0.25">
      <c r="A25" s="16" t="s">
        <v>29</v>
      </c>
      <c r="B25" s="23">
        <f>COUNTIFS('Maliyet Analizi'!$K$5:$K$199,0,'Maliyet Analizi'!$AD$5:$AD$199,"*satınalma kalemi*")</f>
        <v>30</v>
      </c>
    </row>
    <row r="26" spans="1:8" ht="15" customHeight="1" x14ac:dyDescent="0.25">
      <c r="A26" s="16" t="s">
        <v>30</v>
      </c>
      <c r="B26" s="23">
        <f>COUNTIF('Maliyet Analizi'!$AD$5:$AD$199,"*satınalma kalemi*")</f>
        <v>61</v>
      </c>
    </row>
    <row r="27" spans="1:8" ht="15" customHeight="1" x14ac:dyDescent="0.25">
      <c r="A27" s="16" t="s">
        <v>31</v>
      </c>
      <c r="B27" s="23">
        <f>COUNTIF('Maliyet Analizi'!$AD$5:$AD$199,"*TAHMİN*")</f>
        <v>2</v>
      </c>
    </row>
    <row r="28" spans="1:8" ht="15" customHeight="1" x14ac:dyDescent="0.25">
      <c r="A28" s="16" t="s">
        <v>32</v>
      </c>
      <c r="B28" s="23">
        <f>SUM('Maliyet Analizi'!$W$5:$W$199)</f>
        <v>3009.4672900000028</v>
      </c>
    </row>
    <row r="29" spans="1:8" ht="15" customHeight="1" x14ac:dyDescent="0.25">
      <c r="A29" s="16" t="s">
        <v>33</v>
      </c>
      <c r="B29" s="23">
        <f>SUMPRODUCT('Maliyet Analizi'!$H$5:$H$199,'Maliyet Analizi'!$F$5:$F$199)</f>
        <v>72463.192422471562</v>
      </c>
    </row>
    <row r="30" spans="1:8" ht="15" customHeight="1" x14ac:dyDescent="0.25">
      <c r="A30" s="16" t="s">
        <v>34</v>
      </c>
      <c r="B30" s="23">
        <f>SUMPRODUCT('Maliyet Analizi'!$I$5:$I$199,'Maliyet Analizi'!$F$5:$F$199)</f>
        <v>23238.848548571557</v>
      </c>
    </row>
    <row r="31" spans="1:8" ht="15" customHeight="1" x14ac:dyDescent="0.25">
      <c r="A31" s="16" t="s">
        <v>35</v>
      </c>
      <c r="B31" s="23">
        <f>COUNTIFS('Satınalma Parçaları'!$H$2:$H$107,"Evet")-SUMPRODUCT(('Satınalma Parçaları'!$H$2:$H$107="Evet")*ISNUMBER('Satınalma Parçaları'!$K$2:$K$107))</f>
        <v>7</v>
      </c>
    </row>
    <row r="32" spans="1:8" ht="15" customHeight="1" x14ac:dyDescent="0.25">
      <c r="A32" s="16" t="s">
        <v>36</v>
      </c>
      <c r="B32" s="25">
        <f>'Maliyet Analizi'!AB200</f>
        <v>289180.7423615983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202"/>
  <sheetViews>
    <sheetView tabSelected="1" zoomScaleNormal="100" workbookViewId="0">
      <pane xSplit="2" ySplit="4" topLeftCell="C37" activePane="bottomRight" state="frozen"/>
      <selection activeCell="S3" sqref="S3:W3"/>
      <selection pane="topRight" activeCell="S3" sqref="S3:W3"/>
      <selection pane="bottomLeft" activeCell="S3" sqref="S3:W3"/>
      <selection pane="bottomRight" activeCell="A50" sqref="A50"/>
    </sheetView>
  </sheetViews>
  <sheetFormatPr defaultColWidth="8.7109375" defaultRowHeight="15" x14ac:dyDescent="0.25"/>
  <cols>
    <col min="1" max="1" width="9" customWidth="1"/>
    <col min="2" max="2" width="34" customWidth="1"/>
    <col min="3" max="3" width="6" customWidth="1"/>
    <col min="4" max="4" width="13" customWidth="1"/>
    <col min="5" max="5" width="10" customWidth="1"/>
    <col min="6" max="6" width="8" customWidth="1"/>
    <col min="7" max="9" width="9" customWidth="1"/>
    <col min="10" max="10" width="10" customWidth="1"/>
    <col min="11" max="11" width="11" customWidth="1"/>
    <col min="12" max="12" width="10" customWidth="1"/>
    <col min="13" max="15" width="9" customWidth="1"/>
    <col min="16" max="16" width="10" customWidth="1"/>
    <col min="17" max="17" width="15.28515625" customWidth="1"/>
    <col min="18" max="18" width="9" customWidth="1"/>
    <col min="19" max="19" width="11" customWidth="1"/>
    <col min="20" max="22" width="8" customWidth="1"/>
    <col min="23" max="23" width="9" customWidth="1"/>
    <col min="24" max="26" width="14.28515625" customWidth="1"/>
    <col min="27" max="28" width="15.28515625" customWidth="1"/>
    <col min="29" max="29" width="158" customWidth="1"/>
    <col min="30" max="30" width="57.85546875" customWidth="1"/>
    <col min="31" max="33" width="8" customWidth="1"/>
    <col min="34" max="34" width="13" customWidth="1"/>
  </cols>
  <sheetData>
    <row r="1" spans="1:34" ht="18" customHeight="1" x14ac:dyDescent="0.25">
      <c r="A1" s="13" t="s">
        <v>37</v>
      </c>
    </row>
    <row r="2" spans="1:34" ht="15" customHeight="1" x14ac:dyDescent="0.25">
      <c r="A2" s="14" t="s">
        <v>38</v>
      </c>
    </row>
    <row r="3" spans="1:34" ht="15" customHeight="1" x14ac:dyDescent="0.25">
      <c r="A3" s="12" t="s">
        <v>39</v>
      </c>
      <c r="B3" s="12"/>
      <c r="C3" s="12"/>
      <c r="D3" s="12"/>
      <c r="E3" s="12"/>
      <c r="F3" s="12"/>
      <c r="G3" s="12"/>
      <c r="H3" s="11" t="s">
        <v>40</v>
      </c>
      <c r="I3" s="11"/>
      <c r="J3" s="11"/>
      <c r="K3" s="11"/>
      <c r="L3" s="11"/>
      <c r="M3" s="10" t="s">
        <v>41</v>
      </c>
      <c r="N3" s="10"/>
      <c r="O3" s="10"/>
      <c r="P3" s="10"/>
      <c r="Q3" s="9" t="s">
        <v>42</v>
      </c>
      <c r="R3" s="9"/>
      <c r="S3" s="8" t="s">
        <v>43</v>
      </c>
      <c r="T3" s="8"/>
      <c r="U3" s="8"/>
      <c r="V3" s="8"/>
      <c r="W3" s="8"/>
      <c r="X3" s="7" t="s">
        <v>44</v>
      </c>
      <c r="Y3" s="7"/>
      <c r="Z3" s="7"/>
      <c r="AA3" s="238" t="s">
        <v>45</v>
      </c>
      <c r="AB3" s="238"/>
      <c r="AC3" s="6" t="s">
        <v>46</v>
      </c>
      <c r="AD3" s="6"/>
      <c r="AE3" s="12" t="s">
        <v>47</v>
      </c>
      <c r="AF3" s="12"/>
      <c r="AG3" s="12"/>
      <c r="AH3" s="26" t="s">
        <v>48</v>
      </c>
    </row>
    <row r="4" spans="1:34" ht="42" customHeight="1" x14ac:dyDescent="0.25">
      <c r="A4" s="27" t="s">
        <v>49</v>
      </c>
      <c r="B4" s="27" t="s">
        <v>50</v>
      </c>
      <c r="C4" s="27" t="s">
        <v>51</v>
      </c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  <c r="O4" s="27" t="s">
        <v>63</v>
      </c>
      <c r="P4" s="27" t="s">
        <v>64</v>
      </c>
      <c r="Q4" s="27" t="s">
        <v>65</v>
      </c>
      <c r="R4" s="27" t="s">
        <v>66</v>
      </c>
      <c r="S4" s="27" t="s">
        <v>67</v>
      </c>
      <c r="T4" s="27" t="s">
        <v>68</v>
      </c>
      <c r="U4" s="27" t="s">
        <v>69</v>
      </c>
      <c r="V4" s="27" t="s">
        <v>70</v>
      </c>
      <c r="W4" s="28" t="s">
        <v>71</v>
      </c>
      <c r="X4" s="27" t="s">
        <v>72</v>
      </c>
      <c r="Y4" s="27" t="s">
        <v>73</v>
      </c>
      <c r="Z4" s="28" t="s">
        <v>74</v>
      </c>
      <c r="AA4" s="27" t="s">
        <v>75</v>
      </c>
      <c r="AB4" s="27" t="s">
        <v>76</v>
      </c>
      <c r="AC4" s="29" t="s">
        <v>77</v>
      </c>
      <c r="AD4" s="27" t="s">
        <v>78</v>
      </c>
      <c r="AE4" s="27" t="s">
        <v>79</v>
      </c>
      <c r="AF4" s="27" t="s">
        <v>80</v>
      </c>
      <c r="AG4" s="27" t="s">
        <v>81</v>
      </c>
      <c r="AH4" s="27" t="s">
        <v>82</v>
      </c>
    </row>
    <row r="5" spans="1:34" ht="15" customHeight="1" x14ac:dyDescent="0.25">
      <c r="A5" s="30">
        <v>1343489</v>
      </c>
      <c r="B5" s="30" t="s">
        <v>83</v>
      </c>
      <c r="C5" s="30" t="s">
        <v>84</v>
      </c>
      <c r="D5" s="30" t="s">
        <v>85</v>
      </c>
      <c r="E5" s="30" t="s">
        <v>86</v>
      </c>
      <c r="F5" s="31">
        <v>119</v>
      </c>
      <c r="G5" s="32">
        <v>59.956000000000003</v>
      </c>
      <c r="H5" s="33">
        <f>INDEX('Sac Özet'!$L$5:$L$199,MATCH($A5&amp;"",'Sac Özet'!$A$5:$A$199,0))</f>
        <v>49.473645319999989</v>
      </c>
      <c r="I5" s="33">
        <f>INDEX('Sac Özet'!$M$5:$M$199,MATCH($A5&amp;"",'Sac Özet'!$A$5:$A$199,0))</f>
        <v>13.886863520000004</v>
      </c>
      <c r="J5" s="34">
        <f>INDEX('Sac Özet'!$N$5:$N$199,MATCH($A5&amp;"",'Sac Özet'!$A$5:$A$199,0))</f>
        <v>35.034124558545457</v>
      </c>
      <c r="K5" s="35">
        <f>SUMPRODUCT((--'Satınalma Parçaları'!$A$2:$A$107=--$A5)*'Satınalma Parçaları'!$L$2:$L$107)</f>
        <v>133.50109090909092</v>
      </c>
      <c r="L5" s="36">
        <f>J5+N(K5)</f>
        <v>168.53521546763636</v>
      </c>
      <c r="M5" s="37">
        <f>AE5/100*Parametreler!$B$7</f>
        <v>10.487999999999998</v>
      </c>
      <c r="N5" s="37">
        <f>AF5/100*Parametreler!$B$8</f>
        <v>19</v>
      </c>
      <c r="O5" s="37">
        <f>AG5/100*Parametreler!$B$9</f>
        <v>1.7503999999999997</v>
      </c>
      <c r="P5" s="36">
        <f>SUM(M5:O5)</f>
        <v>31.238399999999999</v>
      </c>
      <c r="Q5" s="38">
        <f>VLOOKUP($A5,'Yaş Boya Listesi'!$B$6:$L$131,11,FALSE())</f>
        <v>1</v>
      </c>
      <c r="R5" s="37">
        <f>IF(E5="Kataforez",N(Q5),IF(E5="Yaş boya",Parametreler!$B$10/MAX(1,ROUND(IF(ISNUMBER(Q5),Q5,Parametreler!$B$11),0)),0))</f>
        <v>80</v>
      </c>
      <c r="S5" s="36">
        <f>L5+P5+R5</f>
        <v>279.77361546763638</v>
      </c>
      <c r="T5" s="39">
        <f>IF(S5=0,0,L5/S5)</f>
        <v>0.60239853277777067</v>
      </c>
      <c r="U5" s="39">
        <f>IF(S5=0,0,P5/S5)</f>
        <v>0.11165598996097469</v>
      </c>
      <c r="V5" s="39">
        <f>IF(S5=0,0,R5/S5)</f>
        <v>0.28594547726125458</v>
      </c>
      <c r="W5" s="40">
        <f>SUM(AE5:AG5)/100*F5</f>
        <v>185.86848000000001</v>
      </c>
      <c r="X5" s="37">
        <f>IF($G5=0,0,J5/$G5)</f>
        <v>0.58433058507147673</v>
      </c>
      <c r="Y5" s="37">
        <f>IF($G5=0,0,S5/$G5)</f>
        <v>4.666315555868243</v>
      </c>
      <c r="Z5" s="41">
        <f>IF($G5=0,0,L5/$G5)</f>
        <v>2.810981644333117</v>
      </c>
      <c r="AA5" s="36">
        <f>S5*Parametreler!$B$12</f>
        <v>400.07627011872</v>
      </c>
      <c r="AB5" s="42">
        <f>AA5*F5</f>
        <v>47609.076144127677</v>
      </c>
      <c r="AC5" s="43" t="s">
        <v>87</v>
      </c>
      <c r="AD5" s="30" t="s">
        <v>88</v>
      </c>
      <c r="AE5" s="44">
        <f>INDEX('İşçilik Özet'!$W$6:$W$200,MATCH($A5&amp;"",'İşçilik Özet'!$A$6:$A$200,0))</f>
        <v>52.439999999999991</v>
      </c>
      <c r="AF5" s="44">
        <f>INDEX('İşçilik Özet'!$X$6:$X$200,MATCH($A5&amp;"",'İşçilik Özet'!$A$6:$A$200,0))</f>
        <v>95</v>
      </c>
      <c r="AG5" s="44">
        <f>INDEX('İşçilik Özet'!$Y$6:$Y$200,MATCH($A5&amp;"",'İşçilik Özet'!$A$6:$A$200,0))</f>
        <v>8.7519999999999989</v>
      </c>
      <c r="AH5" s="45">
        <f>(L5+P5)*F5+IF(E5="Kataforez",N(Q5)*F5,IF(E5="Yaş boya",ROUNDUP(F5/MAX(1,ROUND(IF(ISNUMBER(Q5),Q5,Parametreler!$B$11),0)),0)*Parametreler!$B$10,0))</f>
        <v>33293.060240648731</v>
      </c>
    </row>
    <row r="6" spans="1:34" ht="15" customHeight="1" x14ac:dyDescent="0.25">
      <c r="A6" s="30" t="s">
        <v>97</v>
      </c>
      <c r="B6" s="30" t="s">
        <v>98</v>
      </c>
      <c r="C6" s="30" t="s">
        <v>99</v>
      </c>
      <c r="D6" s="30" t="s">
        <v>85</v>
      </c>
      <c r="E6" s="30" t="s">
        <v>94</v>
      </c>
      <c r="F6" s="31">
        <v>56</v>
      </c>
      <c r="G6" s="32">
        <v>62.122999999999998</v>
      </c>
      <c r="H6" s="33">
        <f>INDEX('Sac Özet'!$L$5:$L$199,MATCH($A6&amp;"",'Sac Özet'!$A$5:$A$199,0))</f>
        <v>129.4846039</v>
      </c>
      <c r="I6" s="33">
        <f>INDEX('Sac Özet'!$M$5:$M$199,MATCH($A6&amp;"",'Sac Özet'!$A$5:$A$199,0))</f>
        <v>67.440551049999996</v>
      </c>
      <c r="J6" s="34">
        <f>INDEX('Sac Özet'!$N$5:$N$199,MATCH($A6&amp;"",'Sac Özet'!$A$5:$A$199,0))</f>
        <v>81.516230049090908</v>
      </c>
      <c r="K6" s="35">
        <f>SUMPRODUCT((--'Satınalma Parçaları'!$A$2:$A$107=--$A6)*'Satınalma Parçaları'!$L$2:$L$107)</f>
        <v>0.22509090909090929</v>
      </c>
      <c r="L6" s="36">
        <f>J6+N(K6)</f>
        <v>81.741320958181817</v>
      </c>
      <c r="M6" s="37">
        <f>AE6/100*Parametreler!$B$7</f>
        <v>10.419</v>
      </c>
      <c r="N6" s="37">
        <f>AF6/100*Parametreler!$B$8</f>
        <v>13.75</v>
      </c>
      <c r="O6" s="37">
        <f>AG6/100*Parametreler!$B$9</f>
        <v>18.255200000000002</v>
      </c>
      <c r="P6" s="36">
        <f>SUM(M6:O6)</f>
        <v>42.424199999999999</v>
      </c>
      <c r="Q6" s="38">
        <f>IFERROR(INDEX('Kataforez Teklifleri'!$G$6:$G$50,MATCH($A6&amp;"",'Kataforez Teklifleri'!$A$6:$A$50,0)),"")</f>
        <v>45.96</v>
      </c>
      <c r="R6" s="37">
        <f>IF(E6="Kataforez",N(Q6),IF(E6="Yaş boya",Parametreler!$B$10/MAX(1,ROUND(IF(ISNUMBER(Q6),Q6,Parametreler!$B$11),0)),0))</f>
        <v>45.96</v>
      </c>
      <c r="S6" s="36">
        <f>L6+P6+R6</f>
        <v>170.12552095818182</v>
      </c>
      <c r="T6" s="39">
        <f>IF(S6=0,0,L6/S6)</f>
        <v>0.48047653578250887</v>
      </c>
      <c r="U6" s="39">
        <f>IF(S6=0,0,P6/S6)</f>
        <v>0.24936999317361794</v>
      </c>
      <c r="V6" s="39">
        <f>IF(S6=0,0,R6/S6)</f>
        <v>0.27015347104387311</v>
      </c>
      <c r="W6" s="40">
        <f>SUM(AE6:AG6)/100*F6</f>
        <v>118.78775999999998</v>
      </c>
      <c r="X6" s="37">
        <f>IF($G6=0,0,J6/$G6)</f>
        <v>1.3121747186885842</v>
      </c>
      <c r="Y6" s="37">
        <f>IF($G6=0,0,S6/$G6)</f>
        <v>2.7385271309850108</v>
      </c>
      <c r="Z6" s="41">
        <f>IF($G6=0,0,L6/$G6)</f>
        <v>1.315798029042091</v>
      </c>
      <c r="AA6" s="36">
        <f>S6*Parametreler!$B$12</f>
        <v>243.27949497020001</v>
      </c>
      <c r="AB6" s="42">
        <f>AA6*F6</f>
        <v>13623.651718331201</v>
      </c>
      <c r="AC6" s="43" t="s">
        <v>100</v>
      </c>
      <c r="AD6" s="30" t="s">
        <v>101</v>
      </c>
      <c r="AE6" s="44">
        <f>INDEX('İşçilik Özet'!$W$6:$W$200,MATCH($A6&amp;"",'İşçilik Özet'!$A$6:$A$200,0))</f>
        <v>52.094999999999999</v>
      </c>
      <c r="AF6" s="44">
        <f>INDEX('İşçilik Özet'!$X$6:$X$200,MATCH($A6&amp;"",'İşçilik Özet'!$A$6:$A$200,0))</f>
        <v>68.75</v>
      </c>
      <c r="AG6" s="44">
        <f>INDEX('İşçilik Özet'!$Y$6:$Y$200,MATCH($A6&amp;"",'İşçilik Özet'!$A$6:$A$200,0))</f>
        <v>91.275999999999996</v>
      </c>
      <c r="AH6" s="45">
        <f>(L6+P6)*F6+IF(E6="Kataforez",N(Q6)*F6,IF(E6="Yaş boya",ROUNDUP(F6/MAX(1,ROUND(IF(ISNUMBER(Q6),Q6,Parametreler!$B$11),0)),0)*Parametreler!$B$10,0))</f>
        <v>9527.0291736581821</v>
      </c>
    </row>
    <row r="7" spans="1:34" ht="15" customHeight="1" x14ac:dyDescent="0.25">
      <c r="A7" s="30">
        <v>103116</v>
      </c>
      <c r="B7" s="30" t="s">
        <v>102</v>
      </c>
      <c r="C7" s="30" t="s">
        <v>103</v>
      </c>
      <c r="D7" s="30" t="s">
        <v>85</v>
      </c>
      <c r="E7" s="30" t="s">
        <v>86</v>
      </c>
      <c r="F7" s="31">
        <v>83</v>
      </c>
      <c r="G7" s="32">
        <v>33.158000000000001</v>
      </c>
      <c r="H7" s="33">
        <f>INDEX('Sac Özet'!$L$5:$L$199,MATCH($A7&amp;"",'Sac Özet'!$A$5:$A$199,0))</f>
        <v>45.420767249999997</v>
      </c>
      <c r="I7" s="33">
        <f>INDEX('Sac Özet'!$M$5:$M$199,MATCH($A7&amp;"",'Sac Özet'!$A$5:$A$199,0))</f>
        <v>12.728029250000001</v>
      </c>
      <c r="J7" s="34">
        <f>INDEX('Sac Özet'!$N$5:$N$199,MATCH($A7&amp;"",'Sac Özet'!$A$5:$A$199,0))</f>
        <v>32.171076954545462</v>
      </c>
      <c r="K7" s="35">
        <f>SUMPRODUCT((--'Satınalma Parçaları'!$A$2:$A$107=--$A7)*'Satınalma Parçaları'!$L$2:$L$107)</f>
        <v>0</v>
      </c>
      <c r="L7" s="36">
        <f>J7+N(K7)</f>
        <v>32.171076954545462</v>
      </c>
      <c r="M7" s="37">
        <f>AE7/100*Parametreler!$B$7</f>
        <v>6.4515000000000002</v>
      </c>
      <c r="N7" s="37">
        <f>AF7/100*Parametreler!$B$8</f>
        <v>8</v>
      </c>
      <c r="O7" s="37">
        <f>AG7/100*Parametreler!$B$9</f>
        <v>9.6349999999999998</v>
      </c>
      <c r="P7" s="36">
        <f>SUM(M7:O7)</f>
        <v>24.086500000000001</v>
      </c>
      <c r="Q7" s="38">
        <f>VLOOKUP($A7,'Yaş Boya Listesi'!$B$6:$L$131,11,FALSE())</f>
        <v>2</v>
      </c>
      <c r="R7" s="37">
        <f>IF(E7="Kataforez",N(Q7),IF(E7="Yaş boya",Parametreler!$B$10/MAX(1,ROUND(IF(ISNUMBER(Q7),Q7,Parametreler!$B$11),0)),0))</f>
        <v>40</v>
      </c>
      <c r="S7" s="36">
        <f>L7+P7+R7</f>
        <v>96.25757695454547</v>
      </c>
      <c r="T7" s="39">
        <f>IF(S7=0,0,L7/S7)</f>
        <v>0.33421864514351129</v>
      </c>
      <c r="U7" s="39">
        <f>IF(S7=0,0,P7/S7)</f>
        <v>0.25022965216934634</v>
      </c>
      <c r="V7" s="39">
        <f>IF(S7=0,0,R7/S7)</f>
        <v>0.41555170268714231</v>
      </c>
      <c r="W7" s="40">
        <f>SUM(AE7:AG7)/100*F7</f>
        <v>99.958974999999995</v>
      </c>
      <c r="X7" s="37">
        <f>IF($G7=0,0,J7/$G7)</f>
        <v>0.97023574867439111</v>
      </c>
      <c r="Y7" s="37">
        <f>IF($G7=0,0,S7/$G7)</f>
        <v>2.902997073241615</v>
      </c>
      <c r="Z7" s="41">
        <f>IF($G7=0,0,L7/$G7)</f>
        <v>0.97023574867439111</v>
      </c>
      <c r="AA7" s="36">
        <f>S7*Parametreler!$B$12</f>
        <v>137.64833504500001</v>
      </c>
      <c r="AB7" s="42">
        <f>AA7*F7</f>
        <v>11424.811808735001</v>
      </c>
      <c r="AC7" s="43"/>
      <c r="AD7" s="30"/>
      <c r="AE7" s="44">
        <f>INDEX('İşçilik Özet'!$W$6:$W$200,MATCH($A7&amp;"",'İşçilik Özet'!$A$6:$A$200,0))</f>
        <v>32.2575</v>
      </c>
      <c r="AF7" s="44">
        <f>INDEX('İşçilik Özet'!$X$6:$X$200,MATCH($A7&amp;"",'İşçilik Özet'!$A$6:$A$200,0))</f>
        <v>40</v>
      </c>
      <c r="AG7" s="44">
        <f>INDEX('İşçilik Özet'!$Y$6:$Y$200,MATCH($A7&amp;"",'İşçilik Özet'!$A$6:$A$200,0))</f>
        <v>48.174999999999997</v>
      </c>
      <c r="AH7" s="45">
        <f>(L7+P7)*F7+IF(E7="Kataforez",N(Q7)*F7,IF(E7="Yaş boya",ROUNDUP(F7/MAX(1,ROUND(IF(ISNUMBER(Q7),Q7,Parametreler!$B$11),0)),0)*Parametreler!$B$10,0))</f>
        <v>8029.3788872272735</v>
      </c>
    </row>
    <row r="8" spans="1:34" ht="15" customHeight="1" x14ac:dyDescent="0.25">
      <c r="A8" s="30">
        <v>112616</v>
      </c>
      <c r="B8" s="30" t="s">
        <v>89</v>
      </c>
      <c r="C8" s="30" t="s">
        <v>90</v>
      </c>
      <c r="D8" s="30" t="s">
        <v>23</v>
      </c>
      <c r="E8" s="30" t="s">
        <v>86</v>
      </c>
      <c r="F8" s="31">
        <v>139</v>
      </c>
      <c r="G8" s="32">
        <v>4.0780000000000003</v>
      </c>
      <c r="H8" s="33">
        <f>INDEX('Sac Özet'!$L$5:$L$199,MATCH($A8&amp;"",'Sac Özet'!$A$5:$A$199,0))</f>
        <v>5.0436396327552622</v>
      </c>
      <c r="I8" s="33">
        <f>INDEX('Sac Özet'!$M$5:$M$199,MATCH($A8&amp;"",'Sac Özet'!$A$5:$A$199,0))</f>
        <v>0.96576873275526276</v>
      </c>
      <c r="J8" s="34">
        <f>INDEX('Sac Özet'!$N$5:$N$199,MATCH($A8&amp;"",'Sac Özet'!$A$5:$A$199,0))</f>
        <v>3.7188419391206695</v>
      </c>
      <c r="K8" s="35">
        <f>SUMPRODUCT((--'Satınalma Parçaları'!$A$2:$A$107=--$A8)*'Satınalma Parçaları'!$L$2:$L$107)</f>
        <v>0</v>
      </c>
      <c r="L8" s="36">
        <f>J8+N(K8)</f>
        <v>3.7188419391206695</v>
      </c>
      <c r="M8" s="37">
        <f>AE8/100*Parametreler!$B$7</f>
        <v>6.5549999999999997</v>
      </c>
      <c r="N8" s="37">
        <f>AF8/100*Parametreler!$B$8</f>
        <v>11.582499999999998</v>
      </c>
      <c r="O8" s="37">
        <f>AG8/100*Parametreler!$B$9</f>
        <v>6.4740000000000002</v>
      </c>
      <c r="P8" s="36">
        <f>SUM(M8:O8)</f>
        <v>24.611499999999996</v>
      </c>
      <c r="Q8" s="38">
        <f>VLOOKUP($A8,'Yaş Boya Listesi'!$B$6:$L$131,11,FALSE())</f>
        <v>4</v>
      </c>
      <c r="R8" s="37">
        <f>IF(E8="Kataforez",N(Q8),IF(E8="Yaş boya",Parametreler!$B$10/MAX(1,ROUND(IF(ISNUMBER(Q8),Q8,Parametreler!$B$11),0)),0))</f>
        <v>20</v>
      </c>
      <c r="S8" s="36">
        <f>L8+P8+R8</f>
        <v>48.330341939120665</v>
      </c>
      <c r="T8" s="39">
        <f>IF(S8=0,0,L8/S8)</f>
        <v>7.6946319639226018E-2</v>
      </c>
      <c r="U8" s="39">
        <f>IF(S8=0,0,P8/S8)</f>
        <v>0.50923496529368406</v>
      </c>
      <c r="V8" s="39">
        <f>IF(S8=0,0,R8/S8)</f>
        <v>0.41381871506708989</v>
      </c>
      <c r="W8" s="40">
        <f>SUM(AE8:AG8)/100*F8</f>
        <v>171.049925</v>
      </c>
      <c r="X8" s="37">
        <f>IF($G8=0,0,J8/$G8)</f>
        <v>0.91192789090747162</v>
      </c>
      <c r="Y8" s="37">
        <f>IF($G8=0,0,S8/$G8)</f>
        <v>11.851481593702957</v>
      </c>
      <c r="Z8" s="41">
        <f>IF($G8=0,0,L8/$G8)</f>
        <v>0.91192789090747162</v>
      </c>
      <c r="AA8" s="36">
        <f>S8*Parametreler!$B$12</f>
        <v>69.112388972942554</v>
      </c>
      <c r="AB8" s="42">
        <f>AA8*F8</f>
        <v>9606.6220672390155</v>
      </c>
      <c r="AC8" s="43"/>
      <c r="AD8" s="30" t="s">
        <v>91</v>
      </c>
      <c r="AE8" s="44">
        <f>INDEX('İşçilik Özet'!$W$6:$W$200,MATCH($A8&amp;"",'İşçilik Özet'!$A$6:$A$200,0))</f>
        <v>32.774999999999999</v>
      </c>
      <c r="AF8" s="44">
        <f>INDEX('İşçilik Özet'!$X$6:$X$200,MATCH($A8&amp;"",'İşçilik Özet'!$A$6:$A$200,0))</f>
        <v>57.912499999999994</v>
      </c>
      <c r="AG8" s="44">
        <f>INDEX('İşçilik Özet'!$Y$6:$Y$200,MATCH($A8&amp;"",'İşçilik Özet'!$A$6:$A$200,0))</f>
        <v>32.369999999999997</v>
      </c>
      <c r="AH8" s="45">
        <f>(L8+P8)*F8+IF(E8="Kataforez",N(Q8)*F8,IF(E8="Yaş boya",ROUNDUP(F8/MAX(1,ROUND(IF(ISNUMBER(Q8),Q8,Parametreler!$B$11),0)),0)*Parametreler!$B$10,0))</f>
        <v>6737.9175295377718</v>
      </c>
    </row>
    <row r="9" spans="1:34" ht="15" customHeight="1" x14ac:dyDescent="0.25">
      <c r="A9" s="30">
        <v>701340</v>
      </c>
      <c r="B9" s="30" t="s">
        <v>116</v>
      </c>
      <c r="C9" s="30" t="s">
        <v>117</v>
      </c>
      <c r="D9" s="30" t="s">
        <v>85</v>
      </c>
      <c r="E9" s="30" t="s">
        <v>86</v>
      </c>
      <c r="F9" s="31">
        <v>78</v>
      </c>
      <c r="G9" s="32">
        <v>38.878</v>
      </c>
      <c r="H9" s="33">
        <f>INDEX('Sac Özet'!$L$5:$L$199,MATCH($A9&amp;"",'Sac Özet'!$A$5:$A$199,0))</f>
        <v>40.674900600000001</v>
      </c>
      <c r="I9" s="33">
        <f>INDEX('Sac Özet'!$M$5:$M$199,MATCH($A9&amp;"",'Sac Özet'!$A$5:$A$199,0))</f>
        <v>1.7861261999999989</v>
      </c>
      <c r="J9" s="34">
        <f>INDEX('Sac Özet'!$N$5:$N$199,MATCH($A9&amp;"",'Sac Özet'!$A$5:$A$199,0))</f>
        <v>31.955370087272726</v>
      </c>
      <c r="K9" s="35">
        <f>SUMPRODUCT((--'Satınalma Parçaları'!$A$2:$A$107=--$A9)*'Satınalma Parçaları'!$L$2:$L$107)</f>
        <v>0</v>
      </c>
      <c r="L9" s="36">
        <f>J9+N(K9)</f>
        <v>31.955370087272726</v>
      </c>
      <c r="M9" s="37">
        <f>AE9/100*Parametreler!$B$7</f>
        <v>4.7495000000000003</v>
      </c>
      <c r="N9" s="37">
        <f>AF9/100*Parametreler!$B$8</f>
        <v>4.5</v>
      </c>
      <c r="O9" s="37">
        <f>AG9/100*Parametreler!$B$9</f>
        <v>7.2656000000000009</v>
      </c>
      <c r="P9" s="36">
        <f>SUM(M9:O9)</f>
        <v>16.515100000000004</v>
      </c>
      <c r="Q9" s="38">
        <f>VLOOKUP($A9,'Yaş Boya Listesi'!$B$6:$L$131,11,FALSE())</f>
        <v>2</v>
      </c>
      <c r="R9" s="37">
        <f>IF(E9="Kataforez",N(Q9),IF(E9="Yaş boya",Parametreler!$B$10/MAX(1,ROUND(IF(ISNUMBER(Q9),Q9,Parametreler!$B$11),0)),0))</f>
        <v>40</v>
      </c>
      <c r="S9" s="36">
        <f>L9+P9+R9</f>
        <v>88.47047008727273</v>
      </c>
      <c r="T9" s="39">
        <f>IF(S9=0,0,L9/S9)</f>
        <v>0.36119814957182861</v>
      </c>
      <c r="U9" s="39">
        <f>IF(S9=0,0,P9/S9)</f>
        <v>0.18667358705914516</v>
      </c>
      <c r="V9" s="39">
        <f>IF(S9=0,0,R9/S9)</f>
        <v>0.45212826336902623</v>
      </c>
      <c r="W9" s="40">
        <f>SUM(AE9:AG9)/100*F9</f>
        <v>64.40889</v>
      </c>
      <c r="X9" s="37">
        <f>IF($G9=0,0,J9/$G9)</f>
        <v>0.82193965963456783</v>
      </c>
      <c r="Y9" s="37">
        <f>IF($G9=0,0,S9/$G9)</f>
        <v>2.2755921108923487</v>
      </c>
      <c r="Z9" s="41">
        <f>IF($G9=0,0,L9/$G9)</f>
        <v>0.82193965963456783</v>
      </c>
      <c r="AA9" s="36">
        <f>S9*Parametreler!$B$12</f>
        <v>126.5127722248</v>
      </c>
      <c r="AB9" s="42">
        <f>AA9*F9</f>
        <v>9867.9962335344007</v>
      </c>
      <c r="AC9" s="43"/>
      <c r="AD9" s="30"/>
      <c r="AE9" s="44">
        <f>INDEX('İşçilik Özet'!$W$6:$W$200,MATCH($A9&amp;"",'İşçilik Özet'!$A$6:$A$200,0))</f>
        <v>23.747500000000002</v>
      </c>
      <c r="AF9" s="44">
        <f>INDEX('İşçilik Özet'!$X$6:$X$200,MATCH($A9&amp;"",'İşçilik Özet'!$A$6:$A$200,0))</f>
        <v>22.5</v>
      </c>
      <c r="AG9" s="44">
        <f>INDEX('İşçilik Özet'!$Y$6:$Y$200,MATCH($A9&amp;"",'İşçilik Özet'!$A$6:$A$200,0))</f>
        <v>36.328000000000003</v>
      </c>
      <c r="AH9" s="45">
        <f>(L9+P9)*F9+IF(E9="Kataforez",N(Q9)*F9,IF(E9="Yaş boya",ROUNDUP(F9/MAX(1,ROUND(IF(ISNUMBER(Q9),Q9,Parametreler!$B$11),0)),0)*Parametreler!$B$10,0))</f>
        <v>6900.6966668072728</v>
      </c>
    </row>
    <row r="10" spans="1:34" ht="15" customHeight="1" x14ac:dyDescent="0.25">
      <c r="A10" s="30">
        <v>475599</v>
      </c>
      <c r="B10" s="30" t="s">
        <v>104</v>
      </c>
      <c r="C10" s="30" t="s">
        <v>105</v>
      </c>
      <c r="D10" s="30" t="s">
        <v>85</v>
      </c>
      <c r="E10" s="30" t="s">
        <v>94</v>
      </c>
      <c r="F10" s="31">
        <v>124</v>
      </c>
      <c r="G10" s="32">
        <v>17.844000000000001</v>
      </c>
      <c r="H10" s="33">
        <f>INDEX('Sac Özet'!$L$5:$L$199,MATCH($A10&amp;"",'Sac Özet'!$A$5:$A$199,0))</f>
        <v>29.94609208</v>
      </c>
      <c r="I10" s="33">
        <f>INDEX('Sac Özet'!$M$5:$M$199,MATCH($A10&amp;"",'Sac Özet'!$A$5:$A$199,0))</f>
        <v>12.083817429999998</v>
      </c>
      <c r="J10" s="34">
        <f>INDEX('Sac Özet'!$N$5:$N$199,MATCH($A10&amp;"",'Sac Özet'!$A$5:$A$199,0))</f>
        <v>20.002169777818182</v>
      </c>
      <c r="K10" s="35">
        <f>SUMPRODUCT((--'Satınalma Parçaları'!$A$2:$A$107=--$A10)*'Satınalma Parçaları'!$L$2:$L$107)</f>
        <v>0</v>
      </c>
      <c r="L10" s="36">
        <f>J10+N(K10)</f>
        <v>20.002169777818182</v>
      </c>
      <c r="M10" s="37">
        <f>AE10/100*Parametreler!$B$7</f>
        <v>6.9115000000000002</v>
      </c>
      <c r="N10" s="37">
        <f>AF10/100*Parametreler!$B$8</f>
        <v>4.3324999999999996</v>
      </c>
      <c r="O10" s="37">
        <f>AG10/100*Parametreler!$B$9</f>
        <v>3.1760000000000002</v>
      </c>
      <c r="P10" s="36">
        <f>SUM(M10:O10)</f>
        <v>14.42</v>
      </c>
      <c r="Q10" s="38">
        <f>IFERROR(INDEX('Kataforez Teklifleri'!$G$6:$G$50,MATCH($A10&amp;"",'Kataforez Teklifleri'!$A$6:$A$50,0)),"")</f>
        <v>14.29</v>
      </c>
      <c r="R10" s="37">
        <f>IF(E10="Kataforez",N(Q10),IF(E10="Yaş boya",Parametreler!$B$10/MAX(1,ROUND(IF(ISNUMBER(Q10),Q10,Parametreler!$B$11),0)),0))</f>
        <v>14.29</v>
      </c>
      <c r="S10" s="36">
        <f>L10+P10+R10</f>
        <v>48.712169777818183</v>
      </c>
      <c r="T10" s="39">
        <f>IF(S10=0,0,L10/S10)</f>
        <v>0.41061956117024517</v>
      </c>
      <c r="U10" s="39">
        <f>IF(S10=0,0,P10/S10)</f>
        <v>0.29602458822448846</v>
      </c>
      <c r="V10" s="39">
        <f>IF(S10=0,0,R10/S10)</f>
        <v>0.29335585060526631</v>
      </c>
      <c r="W10" s="40">
        <f>SUM(AE10:AG10)/100*F10</f>
        <v>89.403999999999996</v>
      </c>
      <c r="X10" s="37">
        <f>IF($G10=0,0,J10/$G10)</f>
        <v>1.120946524199629</v>
      </c>
      <c r="Y10" s="37">
        <f>IF($G10=0,0,S10/$G10)</f>
        <v>2.729890707118257</v>
      </c>
      <c r="Z10" s="41">
        <f>IF($G10=0,0,L10/$G10)</f>
        <v>1.120946524199629</v>
      </c>
      <c r="AA10" s="36">
        <f>S10*Parametreler!$B$12</f>
        <v>69.658402782279992</v>
      </c>
      <c r="AB10" s="42">
        <f>AA10*F10</f>
        <v>8637.6419450027188</v>
      </c>
      <c r="AC10" s="43"/>
      <c r="AD10" s="30"/>
      <c r="AE10" s="44">
        <f>INDEX('İşçilik Özet'!$W$6:$W$200,MATCH($A10&amp;"",'İşçilik Özet'!$A$6:$A$200,0))</f>
        <v>34.557500000000005</v>
      </c>
      <c r="AF10" s="44">
        <f>INDEX('İşçilik Özet'!$X$6:$X$200,MATCH($A10&amp;"",'İşçilik Özet'!$A$6:$A$200,0))</f>
        <v>21.662499999999998</v>
      </c>
      <c r="AG10" s="44">
        <f>INDEX('İşçilik Özet'!$Y$6:$Y$200,MATCH($A10&amp;"",'İşçilik Özet'!$A$6:$A$200,0))</f>
        <v>15.879999999999999</v>
      </c>
      <c r="AH10" s="45">
        <f>(L10+P10)*F10+IF(E10="Kataforez",N(Q10)*F10,IF(E10="Yaş boya",ROUNDUP(F10/MAX(1,ROUND(IF(ISNUMBER(Q10),Q10,Parametreler!$B$11),0)),0)*Parametreler!$B$10,0))</f>
        <v>6040.3090524494546</v>
      </c>
    </row>
    <row r="11" spans="1:34" ht="15" customHeight="1" x14ac:dyDescent="0.25">
      <c r="A11" s="30">
        <v>404443</v>
      </c>
      <c r="B11" s="30" t="s">
        <v>92</v>
      </c>
      <c r="C11" s="30" t="s">
        <v>93</v>
      </c>
      <c r="D11" s="30" t="s">
        <v>23</v>
      </c>
      <c r="E11" s="30" t="s">
        <v>94</v>
      </c>
      <c r="F11" s="31">
        <v>652</v>
      </c>
      <c r="G11" s="32">
        <v>4.0590000000000002</v>
      </c>
      <c r="H11" s="33">
        <f>INDEX('Sac Özet'!$L$5:$L$199,MATCH($A11&amp;"",'Sac Özet'!$A$5:$A$199,0))</f>
        <v>1.5000392682926826</v>
      </c>
      <c r="I11" s="33">
        <f>INDEX('Sac Özet'!$M$5:$M$199,MATCH($A11&amp;"",'Sac Özet'!$A$5:$A$199,0))</f>
        <v>0.27000706829268278</v>
      </c>
      <c r="J11" s="34">
        <f>INDEX('Sac Özet'!$N$5:$N$199,MATCH($A11&amp;"",'Sac Özet'!$A$5:$A$199,0))</f>
        <v>1.1116654650110864</v>
      </c>
      <c r="K11" s="35">
        <f>SUMPRODUCT((--'Satınalma Parçaları'!$A$2:$A$107=--$A11)*'Satınalma Parçaları'!$L$2:$L$107)</f>
        <v>0</v>
      </c>
      <c r="L11" s="36">
        <f>J11+N(K11)</f>
        <v>1.1116654650110864</v>
      </c>
      <c r="M11" s="37">
        <f>AE11/100*Parametreler!$B$7</f>
        <v>0</v>
      </c>
      <c r="N11" s="37">
        <f>AF11/100*Parametreler!$B$8</f>
        <v>2.8325</v>
      </c>
      <c r="O11" s="37">
        <f>AG11/100*Parametreler!$B$9</f>
        <v>1.4608000000000001</v>
      </c>
      <c r="P11" s="36">
        <f>SUM(M11:O11)</f>
        <v>4.2933000000000003</v>
      </c>
      <c r="Q11" s="38">
        <f>IFERROR(INDEX('Kataforez Teklifleri'!$G$6:$G$50,MATCH($A11&amp;"",'Kataforez Teklifleri'!$A$6:$A$50,0)),"")</f>
        <v>3.25</v>
      </c>
      <c r="R11" s="37">
        <f>IF(E11="Kataforez",N(Q11),IF(E11="Yaş boya",Parametreler!$B$10/MAX(1,ROUND(IF(ISNUMBER(Q11),Q11,Parametreler!$B$11),0)),0))</f>
        <v>3.25</v>
      </c>
      <c r="S11" s="36">
        <f>L11+P11+R11</f>
        <v>8.6549654650110863</v>
      </c>
      <c r="T11" s="39">
        <f>IF(S11=0,0,L11/S11)</f>
        <v>0.12844250731041623</v>
      </c>
      <c r="U11" s="39">
        <f>IF(S11=0,0,P11/S11)</f>
        <v>0.49605050619280561</v>
      </c>
      <c r="V11" s="39">
        <f>IF(S11=0,0,R11/S11)</f>
        <v>0.37550698649677822</v>
      </c>
      <c r="W11" s="40">
        <f>SUM(AE11:AG11)/100*F11</f>
        <v>139.96158</v>
      </c>
      <c r="X11" s="37">
        <f>IF($G11=0,0,J11/$G11)</f>
        <v>0.27387668514685548</v>
      </c>
      <c r="Y11" s="37">
        <f>IF($G11=0,0,S11/$G11)</f>
        <v>2.1322900874626969</v>
      </c>
      <c r="Z11" s="41">
        <f>IF($G11=0,0,L11/$G11)</f>
        <v>0.27387668514685548</v>
      </c>
      <c r="AA11" s="36">
        <f>S11*Parametreler!$B$12</f>
        <v>12.376600614965852</v>
      </c>
      <c r="AB11" s="42">
        <f>AA11*F11</f>
        <v>8069.5436009577361</v>
      </c>
      <c r="AC11" s="43" t="s">
        <v>95</v>
      </c>
      <c r="AD11" s="30" t="s">
        <v>96</v>
      </c>
      <c r="AE11" s="44">
        <f>INDEX('İşçilik Özet'!$W$6:$W$200,MATCH($A11&amp;"",'İşçilik Özet'!$A$6:$A$200,0))</f>
        <v>0</v>
      </c>
      <c r="AF11" s="44">
        <f>INDEX('İşçilik Özet'!$X$6:$X$200,MATCH($A11&amp;"",'İşçilik Özet'!$A$6:$A$200,0))</f>
        <v>14.1625</v>
      </c>
      <c r="AG11" s="44">
        <f>INDEX('İşçilik Özet'!$Y$6:$Y$200,MATCH($A11&amp;"",'İşçilik Özet'!$A$6:$A$200,0))</f>
        <v>7.3040000000000003</v>
      </c>
      <c r="AH11" s="45">
        <f>(L11+P11)*F11+IF(E11="Kataforez",N(Q11)*F11,IF(E11="Yaş boya",ROUNDUP(F11/MAX(1,ROUND(IF(ISNUMBER(Q11),Q11,Parametreler!$B$11),0)),0)*Parametreler!$B$10,0))</f>
        <v>5643.0374831872286</v>
      </c>
    </row>
    <row r="12" spans="1:34" ht="15" customHeight="1" x14ac:dyDescent="0.25">
      <c r="A12" s="30">
        <v>384255</v>
      </c>
      <c r="B12" s="30" t="s">
        <v>115</v>
      </c>
      <c r="C12" s="30" t="s">
        <v>105</v>
      </c>
      <c r="D12" s="30" t="s">
        <v>85</v>
      </c>
      <c r="E12" s="30" t="s">
        <v>94</v>
      </c>
      <c r="F12" s="31">
        <v>106</v>
      </c>
      <c r="G12" s="32">
        <v>18.62</v>
      </c>
      <c r="H12" s="33">
        <f>INDEX('Sac Özet'!$L$5:$L$199,MATCH($A12&amp;"",'Sac Özet'!$A$5:$A$199,0))</f>
        <v>30.788224379999996</v>
      </c>
      <c r="I12" s="33">
        <f>INDEX('Sac Özet'!$M$5:$M$199,MATCH($A12&amp;"",'Sac Özet'!$A$5:$A$199,0))</f>
        <v>12.152002529999997</v>
      </c>
      <c r="J12" s="34">
        <f>INDEX('Sac Özet'!$N$5:$N$199,MATCH($A12&amp;"",'Sac Özet'!$A$5:$A$199,0))</f>
        <v>20.653560494181818</v>
      </c>
      <c r="K12" s="35">
        <f>SUMPRODUCT((--'Satınalma Parçaları'!$A$2:$A$107=--$A12)*'Satınalma Parçaları'!$L$2:$L$107)</f>
        <v>0</v>
      </c>
      <c r="L12" s="36">
        <f>J12+N(K12)</f>
        <v>20.653560494181818</v>
      </c>
      <c r="M12" s="37">
        <f>AE12/100*Parametreler!$B$7</f>
        <v>6.9115000000000002</v>
      </c>
      <c r="N12" s="37">
        <f>AF12/100*Parametreler!$B$8</f>
        <v>4.3324999999999996</v>
      </c>
      <c r="O12" s="37">
        <f>AG12/100*Parametreler!$B$9</f>
        <v>3.1760000000000002</v>
      </c>
      <c r="P12" s="36">
        <f>SUM(M12:O12)</f>
        <v>14.42</v>
      </c>
      <c r="Q12" s="38">
        <f>IFERROR(INDEX('Kataforez Teklifleri'!$G$6:$G$50,MATCH($A12&amp;"",'Kataforez Teklifleri'!$A$6:$A$50,0)),"")</f>
        <v>14.9</v>
      </c>
      <c r="R12" s="37">
        <f>IF(E12="Kataforez",N(Q12),IF(E12="Yaş boya",Parametreler!$B$10/MAX(1,ROUND(IF(ISNUMBER(Q12),Q12,Parametreler!$B$11),0)),0))</f>
        <v>14.9</v>
      </c>
      <c r="S12" s="36">
        <f>L12+P12+R12</f>
        <v>49.973560494181818</v>
      </c>
      <c r="T12" s="39">
        <f>IF(S12=0,0,L12/S12)</f>
        <v>0.41328975342043944</v>
      </c>
      <c r="U12" s="39">
        <f>IF(S12=0,0,P12/S12)</f>
        <v>0.28855258375434051</v>
      </c>
      <c r="V12" s="39">
        <f>IF(S12=0,0,R12/S12)</f>
        <v>0.29815766282522005</v>
      </c>
      <c r="W12" s="40">
        <f>SUM(AE12:AG12)/100*F12</f>
        <v>76.426000000000002</v>
      </c>
      <c r="X12" s="37">
        <f>IF($G12=0,0,J12/$G12)</f>
        <v>1.1092137751977345</v>
      </c>
      <c r="Y12" s="37">
        <f>IF($G12=0,0,S12/$G12)</f>
        <v>2.6838646881945123</v>
      </c>
      <c r="Z12" s="41">
        <f>IF($G12=0,0,L12/$G12)</f>
        <v>1.1092137751977345</v>
      </c>
      <c r="AA12" s="36">
        <f>S12*Parametreler!$B$12</f>
        <v>71.46219150668</v>
      </c>
      <c r="AB12" s="42">
        <f>AA12*F12</f>
        <v>7574.9922997080803</v>
      </c>
      <c r="AC12" s="43"/>
      <c r="AD12" s="30"/>
      <c r="AE12" s="44">
        <f>INDEX('İşçilik Özet'!$W$6:$W$200,MATCH($A12&amp;"",'İşçilik Özet'!$A$6:$A$200,0))</f>
        <v>34.557500000000005</v>
      </c>
      <c r="AF12" s="44">
        <f>INDEX('İşçilik Özet'!$X$6:$X$200,MATCH($A12&amp;"",'İşçilik Özet'!$A$6:$A$200,0))</f>
        <v>21.662499999999998</v>
      </c>
      <c r="AG12" s="44">
        <f>INDEX('İşçilik Özet'!$Y$6:$Y$200,MATCH($A12&amp;"",'İşçilik Özet'!$A$6:$A$200,0))</f>
        <v>15.879999999999999</v>
      </c>
      <c r="AH12" s="45">
        <f>(L12+P12)*F12+IF(E12="Kataforez",N(Q12)*F12,IF(E12="Yaş boya",ROUNDUP(F12/MAX(1,ROUND(IF(ISNUMBER(Q12),Q12,Parametreler!$B$11),0)),0)*Parametreler!$B$10,0))</f>
        <v>5297.1974123832733</v>
      </c>
    </row>
    <row r="13" spans="1:34" ht="15" customHeight="1" x14ac:dyDescent="0.25">
      <c r="A13" s="30">
        <v>677216</v>
      </c>
      <c r="B13" s="30" t="s">
        <v>112</v>
      </c>
      <c r="C13" s="30" t="s">
        <v>113</v>
      </c>
      <c r="D13" s="30" t="s">
        <v>85</v>
      </c>
      <c r="E13" s="30" t="s">
        <v>86</v>
      </c>
      <c r="F13" s="31">
        <v>78</v>
      </c>
      <c r="G13" s="32">
        <v>13.018000000000001</v>
      </c>
      <c r="H13" s="33">
        <f>INDEX('Sac Özet'!$L$5:$L$199,MATCH($A13&amp;"",'Sac Özet'!$A$5:$A$199,0))</f>
        <v>19.576850925999995</v>
      </c>
      <c r="I13" s="33">
        <f>INDEX('Sac Özet'!$M$5:$M$199,MATCH($A13&amp;"",'Sac Özet'!$A$5:$A$199,0))</f>
        <v>6.5464004259999999</v>
      </c>
      <c r="J13" s="34">
        <f>INDEX('Sac Özet'!$N$5:$N$199,MATCH($A13&amp;"",'Sac Özet'!$A$5:$A$199,0))</f>
        <v>13.519022419563635</v>
      </c>
      <c r="K13" s="35">
        <f>SUMPRODUCT((--'Satınalma Parçaları'!$A$2:$A$107=--$A13)*'Satınalma Parçaları'!$L$2:$L$107)</f>
        <v>0</v>
      </c>
      <c r="L13" s="36">
        <f>J13+N(K13)</f>
        <v>13.519022419563635</v>
      </c>
      <c r="M13" s="37">
        <f>AE13/100*Parametreler!$B$7</f>
        <v>5.2439999999999998</v>
      </c>
      <c r="N13" s="37">
        <f>AF13/100*Parametreler!$B$8</f>
        <v>6.3324999999999996</v>
      </c>
      <c r="O13" s="37">
        <f>AG13/100*Parametreler!$B$9</f>
        <v>6.2496000000000009</v>
      </c>
      <c r="P13" s="36">
        <f>SUM(M13:O13)</f>
        <v>17.8261</v>
      </c>
      <c r="Q13" s="38">
        <f>VLOOKUP($A13,'Yaş Boya Listesi'!$B$6:$L$131,11,FALSE())</f>
        <v>4</v>
      </c>
      <c r="R13" s="37">
        <f>IF(E13="Kataforez",N(Q13),IF(E13="Yaş boya",Parametreler!$B$10/MAX(1,ROUND(IF(ISNUMBER(Q13),Q13,Parametreler!$B$11),0)),0))</f>
        <v>20</v>
      </c>
      <c r="S13" s="36">
        <f>L13+P13+R13</f>
        <v>51.345122419563637</v>
      </c>
      <c r="T13" s="39">
        <f>IF(S13=0,0,L13/S13)</f>
        <v>0.2632971114392082</v>
      </c>
      <c r="U13" s="39">
        <f>IF(S13=0,0,P13/S13)</f>
        <v>0.34718195536345353</v>
      </c>
      <c r="V13" s="39">
        <f>IF(S13=0,0,R13/S13)</f>
        <v>0.38952093319733821</v>
      </c>
      <c r="W13" s="40">
        <f>SUM(AE13:AG13)/100*F13</f>
        <v>69.521789999999996</v>
      </c>
      <c r="X13" s="37">
        <f>IF($G13=0,0,J13/$G13)</f>
        <v>1.0384868965711811</v>
      </c>
      <c r="Y13" s="37">
        <f>IF($G13=0,0,S13/$G13)</f>
        <v>3.9441636518331262</v>
      </c>
      <c r="Z13" s="41">
        <f>IF($G13=0,0,L13/$G13)</f>
        <v>1.0384868965711811</v>
      </c>
      <c r="AA13" s="36">
        <f>S13*Parametreler!$B$12</f>
        <v>73.423525059976001</v>
      </c>
      <c r="AB13" s="42">
        <f>AA13*F13</f>
        <v>5727.0349546781281</v>
      </c>
      <c r="AC13" s="43"/>
      <c r="AD13" s="30"/>
      <c r="AE13" s="44">
        <f>INDEX('İşçilik Özet'!$W$6:$W$200,MATCH($A13&amp;"",'İşçilik Özet'!$A$6:$A$200,0))</f>
        <v>26.22</v>
      </c>
      <c r="AF13" s="44">
        <f>INDEX('İşçilik Özet'!$X$6:$X$200,MATCH($A13&amp;"",'İşçilik Özet'!$A$6:$A$200,0))</f>
        <v>31.662499999999998</v>
      </c>
      <c r="AG13" s="44">
        <f>INDEX('İşçilik Özet'!$Y$6:$Y$200,MATCH($A13&amp;"",'İşçilik Özet'!$A$6:$A$200,0))</f>
        <v>31.248000000000001</v>
      </c>
      <c r="AH13" s="45">
        <f>(L13+P13)*F13+IF(E13="Kataforez",N(Q13)*F13,IF(E13="Yaş boya",ROUNDUP(F13/MAX(1,ROUND(IF(ISNUMBER(Q13),Q13,Parametreler!$B$11),0)),0)*Parametreler!$B$10,0))</f>
        <v>4044.9195487259635</v>
      </c>
    </row>
    <row r="14" spans="1:34" ht="15" customHeight="1" x14ac:dyDescent="0.25">
      <c r="A14" s="30">
        <v>678436</v>
      </c>
      <c r="B14" s="30" t="s">
        <v>114</v>
      </c>
      <c r="C14" s="30" t="s">
        <v>113</v>
      </c>
      <c r="D14" s="30" t="s">
        <v>85</v>
      </c>
      <c r="E14" s="30" t="s">
        <v>86</v>
      </c>
      <c r="F14" s="31">
        <v>78</v>
      </c>
      <c r="G14" s="32">
        <v>13.018000000000001</v>
      </c>
      <c r="H14" s="33">
        <f>INDEX('Sac Özet'!$L$5:$L$199,MATCH($A14&amp;"",'Sac Özet'!$A$5:$A$199,0))</f>
        <v>19.576850925999995</v>
      </c>
      <c r="I14" s="33">
        <f>INDEX('Sac Özet'!$M$5:$M$199,MATCH($A14&amp;"",'Sac Özet'!$A$5:$A$199,0))</f>
        <v>6.5477663259999996</v>
      </c>
      <c r="J14" s="34">
        <f>INDEX('Sac Özet'!$N$5:$N$199,MATCH($A14&amp;"",'Sac Özet'!$A$5:$A$199,0))</f>
        <v>13.518575397745453</v>
      </c>
      <c r="K14" s="35">
        <f>SUMPRODUCT((--'Satınalma Parçaları'!$A$2:$A$107=--$A14)*'Satınalma Parçaları'!$L$2:$L$107)</f>
        <v>0</v>
      </c>
      <c r="L14" s="36">
        <f>J14+N(K14)</f>
        <v>13.518575397745453</v>
      </c>
      <c r="M14" s="37">
        <f>AE14/100*Parametreler!$B$7</f>
        <v>5.2439999999999998</v>
      </c>
      <c r="N14" s="37">
        <f>AF14/100*Parametreler!$B$8</f>
        <v>6.3324999999999996</v>
      </c>
      <c r="O14" s="37">
        <f>AG14/100*Parametreler!$B$9</f>
        <v>6.2496000000000009</v>
      </c>
      <c r="P14" s="36">
        <f>SUM(M14:O14)</f>
        <v>17.8261</v>
      </c>
      <c r="Q14" s="38">
        <f>VLOOKUP($A14,'Yaş Boya Listesi'!$B$6:$L$131,11,FALSE())</f>
        <v>4</v>
      </c>
      <c r="R14" s="37">
        <f>IF(E14="Kataforez",N(Q14),IF(E14="Yaş boya",Parametreler!$B$10/MAX(1,ROUND(IF(ISNUMBER(Q14),Q14,Parametreler!$B$11),0)),0))</f>
        <v>20</v>
      </c>
      <c r="S14" s="36">
        <f>L14+P14+R14</f>
        <v>51.344675397745455</v>
      </c>
      <c r="T14" s="39">
        <f>IF(S14=0,0,L14/S14)</f>
        <v>0.26329069748757344</v>
      </c>
      <c r="U14" s="39">
        <f>IF(S14=0,0,P14/S14)</f>
        <v>0.34718497803148529</v>
      </c>
      <c r="V14" s="39">
        <f>IF(S14=0,0,R14/S14)</f>
        <v>0.38952432448094121</v>
      </c>
      <c r="W14" s="40">
        <f>SUM(AE14:AG14)/100*F14</f>
        <v>69.521789999999996</v>
      </c>
      <c r="X14" s="37">
        <f>IF($G14=0,0,J14/$G14)</f>
        <v>1.0384525578234332</v>
      </c>
      <c r="Y14" s="37">
        <f>IF($G14=0,0,S14/$G14)</f>
        <v>3.9441293130853783</v>
      </c>
      <c r="Z14" s="41">
        <f>IF($G14=0,0,L14/$G14)</f>
        <v>1.0384525578234332</v>
      </c>
      <c r="AA14" s="36">
        <f>S14*Parametreler!$B$12</f>
        <v>73.422885818775995</v>
      </c>
      <c r="AB14" s="42">
        <f>AA14*F14</f>
        <v>5726.9850938645277</v>
      </c>
      <c r="AC14" s="43"/>
      <c r="AD14" s="30"/>
      <c r="AE14" s="44">
        <f>INDEX('İşçilik Özet'!$W$6:$W$200,MATCH($A14&amp;"",'İşçilik Özet'!$A$6:$A$200,0))</f>
        <v>26.22</v>
      </c>
      <c r="AF14" s="44">
        <f>INDEX('İşçilik Özet'!$X$6:$X$200,MATCH($A14&amp;"",'İşçilik Özet'!$A$6:$A$200,0))</f>
        <v>31.662499999999998</v>
      </c>
      <c r="AG14" s="44">
        <f>INDEX('İşçilik Özet'!$Y$6:$Y$200,MATCH($A14&amp;"",'İşçilik Özet'!$A$6:$A$200,0))</f>
        <v>31.248000000000001</v>
      </c>
      <c r="AH14" s="45">
        <f>(L14+P14)*F14+IF(E14="Kataforez",N(Q14)*F14,IF(E14="Yaş boya",ROUNDUP(F14/MAX(1,ROUND(IF(ISNUMBER(Q14),Q14,Parametreler!$B$11),0)),0)*Parametreler!$B$10,0))</f>
        <v>4044.8846810241453</v>
      </c>
    </row>
    <row r="15" spans="1:34" ht="15" customHeight="1" x14ac:dyDescent="0.25">
      <c r="A15" s="30">
        <v>475601</v>
      </c>
      <c r="B15" s="30" t="s">
        <v>108</v>
      </c>
      <c r="C15" s="30" t="s">
        <v>93</v>
      </c>
      <c r="D15" s="30" t="s">
        <v>85</v>
      </c>
      <c r="E15" s="30" t="s">
        <v>94</v>
      </c>
      <c r="F15" s="31">
        <v>122</v>
      </c>
      <c r="G15" s="32">
        <v>10.973000000000001</v>
      </c>
      <c r="H15" s="33">
        <f>INDEX('Sac Özet'!$L$5:$L$199,MATCH($A15&amp;"",'Sac Özet'!$A$5:$A$199,0))</f>
        <v>14.564222749999999</v>
      </c>
      <c r="I15" s="33">
        <f>INDEX('Sac Özet'!$M$5:$M$199,MATCH($A15&amp;"",'Sac Özet'!$A$5:$A$199,0))</f>
        <v>3.5793723500000003</v>
      </c>
      <c r="J15" s="34">
        <f>INDEX('Sac Özet'!$N$5:$N$199,MATCH($A15&amp;"",'Sac Özet'!$A$5:$A$199,0))</f>
        <v>10.479947249090911</v>
      </c>
      <c r="K15" s="35">
        <f>SUMPRODUCT((--'Satınalma Parçaları'!$A$2:$A$107=--$A15)*'Satınalma Parçaları'!$L$2:$L$107)</f>
        <v>0</v>
      </c>
      <c r="L15" s="36">
        <f>J15+N(K15)</f>
        <v>10.479947249090911</v>
      </c>
      <c r="M15" s="37">
        <f>AE15/100*Parametreler!$B$7</f>
        <v>2.8519999999999994</v>
      </c>
      <c r="N15" s="37">
        <f>AF15/100*Parametreler!$B$8</f>
        <v>5.0824999999999996</v>
      </c>
      <c r="O15" s="37">
        <f>AG15/100*Parametreler!$B$9</f>
        <v>5.5574000000000003</v>
      </c>
      <c r="P15" s="36">
        <f>SUM(M15:O15)</f>
        <v>13.491899999999999</v>
      </c>
      <c r="Q15" s="38">
        <f>IFERROR(INDEX('Kataforez Teklifleri'!$G$6:$G$50,MATCH($A15&amp;"",'Kataforez Teklifleri'!$A$6:$A$50,0)),"")</f>
        <v>8.93</v>
      </c>
      <c r="R15" s="37">
        <f>IF(E15="Kataforez",N(Q15),IF(E15="Yaş boya",Parametreler!$B$10/MAX(1,ROUND(IF(ISNUMBER(Q15),Q15,Parametreler!$B$11),0)),0))</f>
        <v>8.93</v>
      </c>
      <c r="S15" s="36">
        <f>L15+P15+R15</f>
        <v>32.901847249090906</v>
      </c>
      <c r="T15" s="39">
        <f>IF(S15=0,0,L15/S15)</f>
        <v>0.31852154591048004</v>
      </c>
      <c r="U15" s="39">
        <f>IF(S15=0,0,P15/S15)</f>
        <v>0.41006512181083654</v>
      </c>
      <c r="V15" s="39">
        <f>IF(S15=0,0,R15/S15)</f>
        <v>0.27141333227868353</v>
      </c>
      <c r="W15" s="40">
        <f>SUM(AE15:AG15)/100*F15</f>
        <v>82.30059</v>
      </c>
      <c r="X15" s="37">
        <f>IF($G15=0,0,J15/$G15)</f>
        <v>0.95506673189564473</v>
      </c>
      <c r="Y15" s="37">
        <f>IF($G15=0,0,S15/$G15)</f>
        <v>2.9984368221170969</v>
      </c>
      <c r="Z15" s="41">
        <f>IF($G15=0,0,L15/$G15)</f>
        <v>0.95506673189564473</v>
      </c>
      <c r="AA15" s="36">
        <f>S15*Parametreler!$B$12</f>
        <v>47.049641566199995</v>
      </c>
      <c r="AB15" s="42">
        <f>AA15*F15</f>
        <v>5740.0562710763998</v>
      </c>
      <c r="AC15" s="43"/>
      <c r="AD15" s="30"/>
      <c r="AE15" s="44">
        <f>INDEX('İşçilik Özet'!$W$6:$W$200,MATCH($A15&amp;"",'İşçilik Özet'!$A$6:$A$200,0))</f>
        <v>14.259999999999998</v>
      </c>
      <c r="AF15" s="44">
        <f>INDEX('İşçilik Özet'!$X$6:$X$200,MATCH($A15&amp;"",'İşçilik Özet'!$A$6:$A$200,0))</f>
        <v>25.412499999999998</v>
      </c>
      <c r="AG15" s="44">
        <f>INDEX('İşçilik Özet'!$Y$6:$Y$200,MATCH($A15&amp;"",'İşçilik Özet'!$A$6:$A$200,0))</f>
        <v>27.786999999999999</v>
      </c>
      <c r="AH15" s="45">
        <f>(L15+P15)*F15+IF(E15="Kataforez",N(Q15)*F15,IF(E15="Yaş boya",ROUNDUP(F15/MAX(1,ROUND(IF(ISNUMBER(Q15),Q15,Parametreler!$B$11),0)),0)*Parametreler!$B$10,0))</f>
        <v>4014.025364389091</v>
      </c>
    </row>
    <row r="16" spans="1:34" ht="15" customHeight="1" x14ac:dyDescent="0.25">
      <c r="A16" s="30">
        <v>112574</v>
      </c>
      <c r="B16" s="30" t="s">
        <v>106</v>
      </c>
      <c r="C16" s="30" t="s">
        <v>107</v>
      </c>
      <c r="D16" s="30" t="s">
        <v>23</v>
      </c>
      <c r="E16" s="30" t="s">
        <v>86</v>
      </c>
      <c r="F16" s="31">
        <v>204</v>
      </c>
      <c r="G16" s="32">
        <v>3.4020000000000001</v>
      </c>
      <c r="H16" s="33">
        <f>INDEX('Sac Özet'!$L$5:$L$199,MATCH($A16&amp;"",'Sac Özet'!$A$5:$A$199,0))</f>
        <v>4.2575478302265903</v>
      </c>
      <c r="I16" s="33">
        <f>INDEX('Sac Özet'!$M$5:$M$199,MATCH($A16&amp;"",'Sac Özet'!$A$5:$A$199,0))</f>
        <v>0.85554623022659093</v>
      </c>
      <c r="J16" s="34">
        <f>INDEX('Sac Özet'!$N$5:$N$199,MATCH($A16&amp;"",'Sac Özet'!$A$5:$A$199,0))</f>
        <v>3.1260413161071163</v>
      </c>
      <c r="K16" s="35">
        <f>SUMPRODUCT((--'Satınalma Parçaları'!$A$2:$A$107=--$A16)*'Satınalma Parçaları'!$L$2:$L$107)</f>
        <v>0</v>
      </c>
      <c r="L16" s="36">
        <f>J16+N(K16)</f>
        <v>3.1260413161071163</v>
      </c>
      <c r="M16" s="37">
        <f>AE16/100*Parametreler!$B$7</f>
        <v>1.081</v>
      </c>
      <c r="N16" s="37">
        <f>AF16/100*Parametreler!$B$8</f>
        <v>2.5824999999999996</v>
      </c>
      <c r="O16" s="37">
        <f>AG16/100*Parametreler!$B$9</f>
        <v>4.2719999999999994</v>
      </c>
      <c r="P16" s="36">
        <f>SUM(M16:O16)</f>
        <v>7.9354999999999993</v>
      </c>
      <c r="Q16" s="38">
        <f>VLOOKUP($A16,'Yaş Boya Listesi'!$B$6:$L$131,11,FALSE())</f>
        <v>10</v>
      </c>
      <c r="R16" s="37">
        <f>IF(E16="Kataforez",N(Q16),IF(E16="Yaş boya",Parametreler!$B$10/MAX(1,ROUND(IF(ISNUMBER(Q16),Q16,Parametreler!$B$11),0)),0))</f>
        <v>8</v>
      </c>
      <c r="S16" s="36">
        <f>L16+P16+R16</f>
        <v>19.061541316107117</v>
      </c>
      <c r="T16" s="39">
        <f>IF(S16=0,0,L16/S16)</f>
        <v>0.16399730033717644</v>
      </c>
      <c r="U16" s="39">
        <f>IF(S16=0,0,P16/S16)</f>
        <v>0.41630946146492642</v>
      </c>
      <c r="V16" s="39">
        <f>IF(S16=0,0,R16/S16)</f>
        <v>0.419693238197897</v>
      </c>
      <c r="W16" s="40">
        <f>SUM(AE16:AG16)/100*F16</f>
        <v>80.942099999999982</v>
      </c>
      <c r="X16" s="37">
        <f>IF($G16=0,0,J16/$G16)</f>
        <v>0.91888339685688303</v>
      </c>
      <c r="Y16" s="37">
        <f>IF($G16=0,0,S16/$G16)</f>
        <v>5.6030397754577059</v>
      </c>
      <c r="Z16" s="41">
        <f>IF($G16=0,0,L16/$G16)</f>
        <v>0.91888339685688303</v>
      </c>
      <c r="AA16" s="36">
        <f>S16*Parametreler!$B$12</f>
        <v>27.258004082033178</v>
      </c>
      <c r="AB16" s="42">
        <f>AA16*F16</f>
        <v>5560.6328327347683</v>
      </c>
      <c r="AC16" s="43"/>
      <c r="AD16" s="30" t="s">
        <v>91</v>
      </c>
      <c r="AE16" s="44">
        <f>INDEX('İşçilik Özet'!$W$6:$W$200,MATCH($A16&amp;"",'İşçilik Özet'!$A$6:$A$200,0))</f>
        <v>5.4049999999999994</v>
      </c>
      <c r="AF16" s="44">
        <f>INDEX('İşçilik Özet'!$X$6:$X$200,MATCH($A16&amp;"",'İşçilik Özet'!$A$6:$A$200,0))</f>
        <v>12.9125</v>
      </c>
      <c r="AG16" s="44">
        <f>INDEX('İşçilik Özet'!$Y$6:$Y$200,MATCH($A16&amp;"",'İşçilik Özet'!$A$6:$A$200,0))</f>
        <v>21.36</v>
      </c>
      <c r="AH16" s="45">
        <f>(L16+P16)*F16+IF(E16="Kataforez",N(Q16)*F16,IF(E16="Yaş boya",ROUNDUP(F16/MAX(1,ROUND(IF(ISNUMBER(Q16),Q16,Parametreler!$B$11),0)),0)*Parametreler!$B$10,0))</f>
        <v>3936.5544284858515</v>
      </c>
    </row>
    <row r="17" spans="1:34" ht="15" customHeight="1" x14ac:dyDescent="0.25">
      <c r="A17" s="30">
        <v>386489</v>
      </c>
      <c r="B17" s="30" t="s">
        <v>111</v>
      </c>
      <c r="C17" s="30" t="s">
        <v>93</v>
      </c>
      <c r="D17" s="30" t="s">
        <v>85</v>
      </c>
      <c r="E17" s="30" t="s">
        <v>94</v>
      </c>
      <c r="F17" s="31">
        <v>106</v>
      </c>
      <c r="G17" s="32">
        <v>12.225</v>
      </c>
      <c r="H17" s="33">
        <f>INDEX('Sac Özet'!$L$5:$L$199,MATCH($A17&amp;"",'Sac Özet'!$A$5:$A$199,0))</f>
        <v>16.10222615</v>
      </c>
      <c r="I17" s="33">
        <f>INDEX('Sac Özet'!$M$5:$M$199,MATCH($A17&amp;"",'Sac Özet'!$A$5:$A$199,0))</f>
        <v>3.8666823499999996</v>
      </c>
      <c r="J17" s="34">
        <f>INDEX('Sac Özet'!$N$5:$N$199,MATCH($A17&amp;"",'Sac Özet'!$A$5:$A$199,0))</f>
        <v>11.616321241818182</v>
      </c>
      <c r="K17" s="35">
        <f>SUMPRODUCT((--'Satınalma Parçaları'!$A$2:$A$107=--$A17)*'Satınalma Parçaları'!$L$2:$L$107)</f>
        <v>0</v>
      </c>
      <c r="L17" s="36">
        <f>J17+N(K17)</f>
        <v>11.616321241818182</v>
      </c>
      <c r="M17" s="37">
        <f>AE17/100*Parametreler!$B$7</f>
        <v>3.9157500000000001</v>
      </c>
      <c r="N17" s="37">
        <f>AF17/100*Parametreler!$B$8</f>
        <v>5.0824999999999996</v>
      </c>
      <c r="O17" s="37">
        <f>AG17/100*Parametreler!$B$9</f>
        <v>5.5574000000000003</v>
      </c>
      <c r="P17" s="36">
        <f>SUM(M17:O17)</f>
        <v>14.55565</v>
      </c>
      <c r="Q17" s="38">
        <f>IFERROR(INDEX('Kataforez Teklifleri'!$G$6:$G$50,MATCH($A17&amp;"",'Kataforez Teklifleri'!$A$6:$A$50,0)),"")</f>
        <v>9.76</v>
      </c>
      <c r="R17" s="37">
        <f>IF(E17="Kataforez",N(Q17),IF(E17="Yaş boya",Parametreler!$B$10/MAX(1,ROUND(IF(ISNUMBER(Q17),Q17,Parametreler!$B$11),0)),0))</f>
        <v>9.76</v>
      </c>
      <c r="S17" s="36">
        <f>L17+P17+R17</f>
        <v>35.931971241818182</v>
      </c>
      <c r="T17" s="39">
        <f>IF(S17=0,0,L17/S17)</f>
        <v>0.32328650058304981</v>
      </c>
      <c r="U17" s="39">
        <f>IF(S17=0,0,P17/S17)</f>
        <v>0.40508910301753526</v>
      </c>
      <c r="V17" s="39">
        <f>IF(S17=0,0,R17/S17)</f>
        <v>0.27162439639941494</v>
      </c>
      <c r="W17" s="40">
        <f>SUM(AE17:AG17)/100*F17</f>
        <v>77.144944999999993</v>
      </c>
      <c r="X17" s="37">
        <f>IF($G17=0,0,J17/$G17)</f>
        <v>0.95021032652909476</v>
      </c>
      <c r="Y17" s="37">
        <f>IF($G17=0,0,S17/$G17)</f>
        <v>2.9392205514779701</v>
      </c>
      <c r="Z17" s="41">
        <f>IF($G17=0,0,L17/$G17)</f>
        <v>0.95021032652909476</v>
      </c>
      <c r="AA17" s="36">
        <f>S17*Parametreler!$B$12</f>
        <v>51.382718875799995</v>
      </c>
      <c r="AB17" s="42">
        <f>AA17*F17</f>
        <v>5446.5682008347994</v>
      </c>
      <c r="AC17" s="43"/>
      <c r="AD17" s="30"/>
      <c r="AE17" s="44">
        <f>INDEX('İşçilik Özet'!$W$6:$W$200,MATCH($A17&amp;"",'İşçilik Özet'!$A$6:$A$200,0))</f>
        <v>19.578749999999999</v>
      </c>
      <c r="AF17" s="44">
        <f>INDEX('İşçilik Özet'!$X$6:$X$200,MATCH($A17&amp;"",'İşçilik Özet'!$A$6:$A$200,0))</f>
        <v>25.412499999999998</v>
      </c>
      <c r="AG17" s="44">
        <f>INDEX('İşçilik Özet'!$Y$6:$Y$200,MATCH($A17&amp;"",'İşçilik Özet'!$A$6:$A$200,0))</f>
        <v>27.786999999999999</v>
      </c>
      <c r="AH17" s="45">
        <f>(L17+P17)*F17+IF(E17="Kataforez",N(Q17)*F17,IF(E17="Yaş boya",ROUNDUP(F17/MAX(1,ROUND(IF(ISNUMBER(Q17),Q17,Parametreler!$B$11),0)),0)*Parametreler!$B$10,0))</f>
        <v>3808.7889516327273</v>
      </c>
    </row>
    <row r="18" spans="1:34" ht="15" customHeight="1" x14ac:dyDescent="0.25">
      <c r="A18" s="30">
        <v>106773</v>
      </c>
      <c r="B18" s="30" t="s">
        <v>128</v>
      </c>
      <c r="C18" s="30" t="s">
        <v>110</v>
      </c>
      <c r="D18" s="30" t="s">
        <v>85</v>
      </c>
      <c r="E18" s="30" t="s">
        <v>86</v>
      </c>
      <c r="F18" s="31">
        <v>85</v>
      </c>
      <c r="G18" s="32">
        <v>8.2840000000000007</v>
      </c>
      <c r="H18" s="33">
        <f>INDEX('Sac Özet'!$L$5:$L$199,MATCH($A18&amp;"",'Sac Özet'!$A$5:$A$199,0))</f>
        <v>10.584508250000001</v>
      </c>
      <c r="I18" s="33">
        <f>INDEX('Sac Özet'!$M$5:$M$199,MATCH($A18&amp;"",'Sac Özet'!$A$5:$A$199,0))</f>
        <v>2.2916897499999993</v>
      </c>
      <c r="J18" s="34">
        <f>INDEX('Sac Özet'!$N$5:$N$199,MATCH($A18&amp;"",'Sac Özet'!$A$5:$A$199,0))</f>
        <v>7.7175990454545458</v>
      </c>
      <c r="K18" s="35">
        <f>SUMPRODUCT((--'Satınalma Parçaları'!$A$2:$A$107=--$A18)*'Satınalma Parçaları'!$L$2:$L$107)</f>
        <v>0</v>
      </c>
      <c r="L18" s="36">
        <f>J18+N(K18)</f>
        <v>7.7175990454545458</v>
      </c>
      <c r="M18" s="37">
        <f>AE18/100*Parametreler!$B$7</f>
        <v>5.6177500000000009</v>
      </c>
      <c r="N18" s="37">
        <f>AF18/100*Parametreler!$B$8</f>
        <v>2.5824999999999996</v>
      </c>
      <c r="O18" s="37">
        <f>AG18/100*Parametreler!$B$9</f>
        <v>1.7311999999999996</v>
      </c>
      <c r="P18" s="36">
        <f>SUM(M18:O18)</f>
        <v>9.9314499999999999</v>
      </c>
      <c r="Q18" s="38">
        <f>VLOOKUP($A18,'Yaş Boya Listesi'!$B$6:$L$131,11,FALSE())</f>
        <v>4</v>
      </c>
      <c r="R18" s="37">
        <f>IF(E18="Kataforez",N(Q18),IF(E18="Yaş boya",Parametreler!$B$10/MAX(1,ROUND(IF(ISNUMBER(Q18),Q18,Parametreler!$B$11),0)),0))</f>
        <v>20</v>
      </c>
      <c r="S18" s="36">
        <f>L18+P18+R18</f>
        <v>37.649049045454547</v>
      </c>
      <c r="T18" s="39">
        <f>IF(S18=0,0,L18/S18)</f>
        <v>0.20498788790486883</v>
      </c>
      <c r="U18" s="39">
        <f>IF(S18=0,0,P18/S18)</f>
        <v>0.26379019528513287</v>
      </c>
      <c r="V18" s="39">
        <f>IF(S18=0,0,R18/S18)</f>
        <v>0.53122191680999831</v>
      </c>
      <c r="W18" s="40">
        <f>SUM(AE18:AG18)/100*F18</f>
        <v>42.208662500000003</v>
      </c>
      <c r="X18" s="37">
        <f>IF($G18=0,0,J18/$G18)</f>
        <v>0.9316271179930643</v>
      </c>
      <c r="Y18" s="37">
        <f>IF($G18=0,0,S18/$G18)</f>
        <v>4.5447910484614367</v>
      </c>
      <c r="Z18" s="41">
        <f>IF($G18=0,0,L18/$G18)</f>
        <v>0.9316271179930643</v>
      </c>
      <c r="AA18" s="36">
        <f>S18*Parametreler!$B$12</f>
        <v>53.838140134999996</v>
      </c>
      <c r="AB18" s="42">
        <f>AA18*F18</f>
        <v>4576.2419114750001</v>
      </c>
      <c r="AC18" s="43"/>
      <c r="AD18" s="30"/>
      <c r="AE18" s="44">
        <f>INDEX('İşçilik Özet'!$W$6:$W$200,MATCH($A18&amp;"",'İşçilik Özet'!$A$6:$A$200,0))</f>
        <v>28.088750000000005</v>
      </c>
      <c r="AF18" s="44">
        <f>INDEX('İşçilik Özet'!$X$6:$X$200,MATCH($A18&amp;"",'İşçilik Özet'!$A$6:$A$200,0))</f>
        <v>12.9125</v>
      </c>
      <c r="AG18" s="44">
        <f>INDEX('İşçilik Özet'!$Y$6:$Y$200,MATCH($A18&amp;"",'İşçilik Özet'!$A$6:$A$200,0))</f>
        <v>8.6559999999999988</v>
      </c>
      <c r="AH18" s="45">
        <f>(L18+P18)*F18+IF(E18="Kataforez",N(Q18)*F18,IF(E18="Yaş boya",ROUNDUP(F18/MAX(1,ROUND(IF(ISNUMBER(Q18),Q18,Parametreler!$B$11),0)),0)*Parametreler!$B$10,0))</f>
        <v>3260.1691688636365</v>
      </c>
    </row>
    <row r="19" spans="1:34" ht="15" customHeight="1" x14ac:dyDescent="0.25">
      <c r="A19" s="30">
        <v>400994</v>
      </c>
      <c r="B19" s="30" t="s">
        <v>109</v>
      </c>
      <c r="C19" s="30" t="s">
        <v>110</v>
      </c>
      <c r="D19" s="30" t="s">
        <v>23</v>
      </c>
      <c r="E19" s="30" t="s">
        <v>86</v>
      </c>
      <c r="F19" s="31">
        <v>332</v>
      </c>
      <c r="G19" s="32">
        <v>1.0609999999999999</v>
      </c>
      <c r="H19" s="33">
        <f>INDEX('Sac Özet'!$L$5:$L$199,MATCH($A19&amp;"",'Sac Özet'!$A$5:$A$199,0))</f>
        <v>1.3337851061856625</v>
      </c>
      <c r="I19" s="33">
        <f>INDEX('Sac Özet'!$M$5:$M$199,MATCH($A19&amp;"",'Sac Özet'!$A$5:$A$199,0))</f>
        <v>0.27281050618566255</v>
      </c>
      <c r="J19" s="34">
        <f>INDEX('Sac Özet'!$N$5:$N$199,MATCH($A19&amp;"",'Sac Özet'!$A$5:$A$199,0))</f>
        <v>0.97774464656049498</v>
      </c>
      <c r="K19" s="35">
        <f>SUMPRODUCT((--'Satınalma Parçaları'!$A$2:$A$107=--$A19)*'Satınalma Parçaları'!$L$2:$L$107)</f>
        <v>0</v>
      </c>
      <c r="L19" s="36">
        <f>J19+N(K19)</f>
        <v>0.97774464656049498</v>
      </c>
      <c r="M19" s="37">
        <f>AE19/100*Parametreler!$B$7</f>
        <v>1.3109999999999999</v>
      </c>
      <c r="N19" s="37">
        <f>AF19/100*Parametreler!$B$8</f>
        <v>2.0825</v>
      </c>
      <c r="O19" s="37">
        <f>AG19/100*Parametreler!$B$9</f>
        <v>1.06</v>
      </c>
      <c r="P19" s="36">
        <f>SUM(M19:O19)</f>
        <v>4.4535</v>
      </c>
      <c r="Q19" s="38">
        <f>VLOOKUP($A19,'Yaş Boya Listesi'!$B$6:$L$131,11,FALSE())</f>
        <v>20</v>
      </c>
      <c r="R19" s="37">
        <f>IF(E19="Kataforez",N(Q19),IF(E19="Yaş boya",Parametreler!$B$10/MAX(1,ROUND(IF(ISNUMBER(Q19),Q19,Parametreler!$B$11),0)),0))</f>
        <v>4</v>
      </c>
      <c r="S19" s="36">
        <f>L19+P19+R19</f>
        <v>9.4312446465604953</v>
      </c>
      <c r="T19" s="39">
        <f>IF(S19=0,0,L19/S19)</f>
        <v>0.10367079671897507</v>
      </c>
      <c r="U19" s="39">
        <f>IF(S19=0,0,P19/S19)</f>
        <v>0.47220702748116689</v>
      </c>
      <c r="V19" s="39">
        <f>IF(S19=0,0,R19/S19)</f>
        <v>0.424122175799858</v>
      </c>
      <c r="W19" s="40">
        <f>SUM(AE19:AG19)/100*F19</f>
        <v>73.928100000000001</v>
      </c>
      <c r="X19" s="37">
        <f>IF($G19=0,0,J19/$G19)</f>
        <v>0.9215312408675731</v>
      </c>
      <c r="Y19" s="37">
        <f>IF($G19=0,0,S19/$G19)</f>
        <v>8.889014746993869</v>
      </c>
      <c r="Z19" s="41">
        <f>IF($G19=0,0,L19/$G19)</f>
        <v>0.9215312408675731</v>
      </c>
      <c r="AA19" s="36">
        <f>S19*Parametreler!$B$12</f>
        <v>13.486679844581507</v>
      </c>
      <c r="AB19" s="42">
        <f>AA19*F19</f>
        <v>4477.5777084010606</v>
      </c>
      <c r="AC19" s="43"/>
      <c r="AD19" s="30" t="s">
        <v>91</v>
      </c>
      <c r="AE19" s="44">
        <f>INDEX('İşçilik Özet'!$W$6:$W$200,MATCH($A19&amp;"",'İşçilik Özet'!$A$6:$A$200,0))</f>
        <v>6.5549999999999997</v>
      </c>
      <c r="AF19" s="44">
        <f>INDEX('İşçilik Özet'!$X$6:$X$200,MATCH($A19&amp;"",'İşçilik Özet'!$A$6:$A$200,0))</f>
        <v>10.4125</v>
      </c>
      <c r="AG19" s="44">
        <f>INDEX('İşçilik Özet'!$Y$6:$Y$200,MATCH($A19&amp;"",'İşçilik Özet'!$A$6:$A$200,0))</f>
        <v>5.3</v>
      </c>
      <c r="AH19" s="45">
        <f>(L19+P19)*F19+IF(E19="Kataforez",N(Q19)*F19,IF(E19="Yaş boya",ROUNDUP(F19/MAX(1,ROUND(IF(ISNUMBER(Q19),Q19,Parametreler!$B$11),0)),0)*Parametreler!$B$10,0))</f>
        <v>3163.1732226580843</v>
      </c>
    </row>
    <row r="20" spans="1:34" ht="15" customHeight="1" x14ac:dyDescent="0.25">
      <c r="A20" s="30">
        <v>284248</v>
      </c>
      <c r="B20" s="30" t="s">
        <v>147</v>
      </c>
      <c r="C20" s="30" t="s">
        <v>148</v>
      </c>
      <c r="D20" s="30" t="s">
        <v>85</v>
      </c>
      <c r="E20" s="30" t="s">
        <v>86</v>
      </c>
      <c r="F20" s="31">
        <v>56</v>
      </c>
      <c r="G20" s="32">
        <v>10.266</v>
      </c>
      <c r="H20" s="33">
        <f>INDEX('Sac Özet'!$L$5:$L$199,MATCH($A20&amp;"",'Sac Özet'!$A$5:$A$199,0))</f>
        <v>30.935637331999995</v>
      </c>
      <c r="I20" s="33">
        <f>INDEX('Sac Özet'!$M$5:$M$199,MATCH($A20&amp;"",'Sac Özet'!$A$5:$A$199,0))</f>
        <v>20.661698632</v>
      </c>
      <c r="J20" s="34">
        <f>INDEX('Sac Özet'!$N$5:$N$199,MATCH($A20&amp;"",'Sac Özet'!$A$5:$A$199,0))</f>
        <v>17.986499404218186</v>
      </c>
      <c r="K20" s="35">
        <f>SUMPRODUCT((--'Satınalma Parçaları'!$A$2:$A$107=--$A20)*'Satınalma Parçaları'!$L$2:$L$107)</f>
        <v>0</v>
      </c>
      <c r="L20" s="36">
        <f>J20+N(K20)</f>
        <v>17.986499404218186</v>
      </c>
      <c r="M20" s="37">
        <f>AE20/100*Parametreler!$B$7</f>
        <v>2.1447500000000002</v>
      </c>
      <c r="N20" s="37">
        <f>AF20/100*Parametreler!$B$8</f>
        <v>4.0824999999999996</v>
      </c>
      <c r="O20" s="37">
        <f>AG20/100*Parametreler!$B$9</f>
        <v>2.7885999999999997</v>
      </c>
      <c r="P20" s="36">
        <f>SUM(M20:O20)</f>
        <v>9.0158500000000004</v>
      </c>
      <c r="Q20" s="38">
        <f>VLOOKUP($A20,'Yaş Boya Listesi'!$B$6:$L$131,11,FALSE())</f>
        <v>3</v>
      </c>
      <c r="R20" s="37">
        <f>IF(E20="Kataforez",N(Q20),IF(E20="Yaş boya",Parametreler!$B$10/MAX(1,ROUND(IF(ISNUMBER(Q20),Q20,Parametreler!$B$11),0)),0))</f>
        <v>26.666666666666668</v>
      </c>
      <c r="S20" s="36">
        <f>L20+P20+R20</f>
        <v>53.669016070884851</v>
      </c>
      <c r="T20" s="39">
        <f>IF(S20=0,0,L20/S20)</f>
        <v>0.3351374912568178</v>
      </c>
      <c r="U20" s="39">
        <f>IF(S20=0,0,P20/S20)</f>
        <v>0.1679898507565718</v>
      </c>
      <c r="V20" s="39">
        <f>IF(S20=0,0,R20/S20)</f>
        <v>0.49687265798661046</v>
      </c>
      <c r="W20" s="40">
        <f>SUM(AE20:AG20)/100*F20</f>
        <v>25.244379999999996</v>
      </c>
      <c r="X20" s="37">
        <f>IF($G20=0,0,J20/$G20)</f>
        <v>1.7520455293413391</v>
      </c>
      <c r="Y20" s="37">
        <f>IF($G20=0,0,S20/$G20)</f>
        <v>5.2278410355430402</v>
      </c>
      <c r="Z20" s="41">
        <f>IF($G20=0,0,L20/$G20)</f>
        <v>1.7520455293413391</v>
      </c>
      <c r="AA20" s="36">
        <f>S20*Parametreler!$B$12</f>
        <v>76.746692981365328</v>
      </c>
      <c r="AB20" s="42">
        <f>AA20*F20</f>
        <v>4297.8148069564586</v>
      </c>
      <c r="AC20" s="43"/>
      <c r="AD20" s="30"/>
      <c r="AE20" s="44">
        <f>INDEX('İşçilik Özet'!$W$6:$W$200,MATCH($A20&amp;"",'İşçilik Özet'!$A$6:$A$200,0))</f>
        <v>10.723750000000001</v>
      </c>
      <c r="AF20" s="44">
        <f>INDEX('İşçilik Özet'!$X$6:$X$200,MATCH($A20&amp;"",'İşçilik Özet'!$A$6:$A$200,0))</f>
        <v>20.412499999999998</v>
      </c>
      <c r="AG20" s="44">
        <f>INDEX('İşçilik Özet'!$Y$6:$Y$200,MATCH($A20&amp;"",'İşçilik Özet'!$A$6:$A$200,0))</f>
        <v>13.943</v>
      </c>
      <c r="AH20" s="45">
        <f>(L20+P20)*F20+IF(E20="Kataforez",N(Q20)*F20,IF(E20="Yaş boya",ROUNDUP(F20/MAX(1,ROUND(IF(ISNUMBER(Q20),Q20,Parametreler!$B$11),0)),0)*Parametreler!$B$10,0))</f>
        <v>3032.1315666362184</v>
      </c>
    </row>
    <row r="21" spans="1:34" ht="15" customHeight="1" x14ac:dyDescent="0.25">
      <c r="A21" s="30">
        <v>110434</v>
      </c>
      <c r="B21" s="30" t="s">
        <v>121</v>
      </c>
      <c r="C21" s="30" t="s">
        <v>93</v>
      </c>
      <c r="D21" s="30" t="s">
        <v>23</v>
      </c>
      <c r="E21" s="30" t="s">
        <v>86</v>
      </c>
      <c r="F21" s="31">
        <v>142</v>
      </c>
      <c r="G21" s="32">
        <v>6.0730000000000004</v>
      </c>
      <c r="H21" s="33">
        <f>INDEX('Sac Özet'!$L$5:$L$199,MATCH($A21&amp;"",'Sac Özet'!$A$5:$A$199,0))</f>
        <v>3.000040243902439</v>
      </c>
      <c r="I21" s="33">
        <f>INDEX('Sac Özet'!$M$5:$M$199,MATCH($A21&amp;"",'Sac Özet'!$A$5:$A$199,0))</f>
        <v>0.54000724390243882</v>
      </c>
      <c r="J21" s="34">
        <f>INDEX('Sac Özet'!$N$5:$N$199,MATCH($A21&amp;"",'Sac Özet'!$A$5:$A$199,0))</f>
        <v>2.2233025516629712</v>
      </c>
      <c r="K21" s="35">
        <f>SUMPRODUCT((--'Satınalma Parçaları'!$A$2:$A$107=--$A21)*'Satınalma Parçaları'!$L$2:$L$107)</f>
        <v>2.4</v>
      </c>
      <c r="L21" s="36">
        <f>J21+N(K21)</f>
        <v>4.6233025516629711</v>
      </c>
      <c r="M21" s="37">
        <f>AE21/100*Parametreler!$B$7</f>
        <v>0</v>
      </c>
      <c r="N21" s="37">
        <f>AF21/100*Parametreler!$B$8</f>
        <v>4.5824999999999996</v>
      </c>
      <c r="O21" s="37">
        <f>AG21/100*Parametreler!$B$9</f>
        <v>2.7872000000000003</v>
      </c>
      <c r="P21" s="36">
        <f>SUM(M21:O21)</f>
        <v>7.3696999999999999</v>
      </c>
      <c r="Q21" s="38">
        <f>VLOOKUP($A21,'Yaş Boya Listesi'!$B$6:$L$131,11,FALSE())</f>
        <v>10</v>
      </c>
      <c r="R21" s="37">
        <f>IF(E21="Kataforez",N(Q21),IF(E21="Yaş boya",Parametreler!$B$10/MAX(1,ROUND(IF(ISNUMBER(Q21),Q21,Parametreler!$B$11),0)),0))</f>
        <v>8</v>
      </c>
      <c r="S21" s="36">
        <f>L21+P21+R21</f>
        <v>19.993002551662972</v>
      </c>
      <c r="T21" s="39">
        <f>IF(S21=0,0,L21/S21)</f>
        <v>0.23124603419201861</v>
      </c>
      <c r="U21" s="39">
        <f>IF(S21=0,0,P21/S21)</f>
        <v>0.36861396785982031</v>
      </c>
      <c r="V21" s="39">
        <f>IF(S21=0,0,R21/S21)</f>
        <v>0.40013999794816102</v>
      </c>
      <c r="W21" s="40">
        <f>SUM(AE21:AG21)/100*F21</f>
        <v>52.324870000000004</v>
      </c>
      <c r="X21" s="37">
        <f>IF($G21=0,0,J21/$G21)</f>
        <v>0.36609625418458275</v>
      </c>
      <c r="Y21" s="37">
        <f>IF($G21=0,0,S21/$G21)</f>
        <v>3.2921130498374724</v>
      </c>
      <c r="Z21" s="41">
        <f>IF($G21=0,0,L21/$G21)</f>
        <v>0.76128808688670691</v>
      </c>
      <c r="AA21" s="36">
        <f>S21*Parametreler!$B$12</f>
        <v>28.58999364887805</v>
      </c>
      <c r="AB21" s="42">
        <f>AA21*F21</f>
        <v>4059.7790981406829</v>
      </c>
      <c r="AC21" s="43" t="s">
        <v>122</v>
      </c>
      <c r="AD21" s="30" t="s">
        <v>96</v>
      </c>
      <c r="AE21" s="44">
        <f>INDEX('İşçilik Özet'!$W$6:$W$200,MATCH($A21&amp;"",'İşçilik Özet'!$A$6:$A$200,0))</f>
        <v>0</v>
      </c>
      <c r="AF21" s="44">
        <f>INDEX('İşçilik Özet'!$X$6:$X$200,MATCH($A21&amp;"",'İşçilik Özet'!$A$6:$A$200,0))</f>
        <v>22.912499999999998</v>
      </c>
      <c r="AG21" s="44">
        <f>INDEX('İşçilik Özet'!$Y$6:$Y$200,MATCH($A21&amp;"",'İşçilik Özet'!$A$6:$A$200,0))</f>
        <v>13.936</v>
      </c>
      <c r="AH21" s="45">
        <f>(L21+P21)*F21+IF(E21="Kataforez",N(Q21)*F21,IF(E21="Yaş boya",ROUNDUP(F21/MAX(1,ROUND(IF(ISNUMBER(Q21),Q21,Parametreler!$B$11),0)),0)*Parametreler!$B$10,0))</f>
        <v>2903.006362336142</v>
      </c>
    </row>
    <row r="22" spans="1:34" ht="15" customHeight="1" x14ac:dyDescent="0.25">
      <c r="A22" s="30">
        <v>113467</v>
      </c>
      <c r="B22" s="30" t="s">
        <v>141</v>
      </c>
      <c r="C22" s="30" t="s">
        <v>142</v>
      </c>
      <c r="D22" s="30" t="s">
        <v>85</v>
      </c>
      <c r="E22" s="30" t="s">
        <v>86</v>
      </c>
      <c r="F22" s="31">
        <v>13</v>
      </c>
      <c r="G22" s="32">
        <v>76.278000000000006</v>
      </c>
      <c r="H22" s="33">
        <f>INDEX('Sac Özet'!$L$5:$L$199,MATCH($A22&amp;"",'Sac Özet'!$A$5:$A$199,0))</f>
        <v>157.07329073999998</v>
      </c>
      <c r="I22" s="33">
        <f>INDEX('Sac Özet'!$M$5:$M$199,MATCH($A22&amp;"",'Sac Özet'!$A$5:$A$199,0))</f>
        <v>80.860278339999979</v>
      </c>
      <c r="J22" s="34">
        <f>INDEX('Sac Özet'!$N$5:$N$199,MATCH($A22&amp;"",'Sac Özet'!$A$5:$A$199,0))</f>
        <v>99.195268771636364</v>
      </c>
      <c r="K22" s="35">
        <f>SUMPRODUCT((--'Satınalma Parçaları'!$A$2:$A$107=--$A22)*'Satınalma Parçaları'!$L$2:$L$107)</f>
        <v>0.20345454545454578</v>
      </c>
      <c r="L22" s="36">
        <f>J22+N(K22)</f>
        <v>99.398723317090912</v>
      </c>
      <c r="M22" s="37">
        <f>AE22/100*Parametreler!$B$7</f>
        <v>10.648999999999999</v>
      </c>
      <c r="N22" s="37">
        <f>AF22/100*Parametreler!$B$8</f>
        <v>13.25</v>
      </c>
      <c r="O22" s="37">
        <f>AG22/100*Parametreler!$B$9</f>
        <v>17.34</v>
      </c>
      <c r="P22" s="36">
        <f>SUM(M22:O22)</f>
        <v>41.239000000000004</v>
      </c>
      <c r="Q22" s="38">
        <f>VLOOKUP($A22,'Yaş Boya Listesi'!$B$6:$L$131,11,FALSE())</f>
        <v>1</v>
      </c>
      <c r="R22" s="37">
        <f>IF(E22="Kataforez",N(Q22),IF(E22="Yaş boya",Parametreler!$B$10/MAX(1,ROUND(IF(ISNUMBER(Q22),Q22,Parametreler!$B$11),0)),0))</f>
        <v>80</v>
      </c>
      <c r="S22" s="36">
        <f>L22+P22+R22</f>
        <v>220.63772331709092</v>
      </c>
      <c r="T22" s="39">
        <f>IF(S22=0,0,L22/S22)</f>
        <v>0.45050647651145043</v>
      </c>
      <c r="U22" s="39">
        <f>IF(S22=0,0,P22/S22)</f>
        <v>0.18690820128130634</v>
      </c>
      <c r="V22" s="39">
        <f>IF(S22=0,0,R22/S22)</f>
        <v>0.36258532220724327</v>
      </c>
      <c r="W22" s="40">
        <f>SUM(AE22:AG22)/100*F22</f>
        <v>26.805350000000001</v>
      </c>
      <c r="X22" s="37">
        <f>IF($G22=0,0,J22/$G22)</f>
        <v>1.3004440175625522</v>
      </c>
      <c r="Y22" s="37">
        <f>IF($G22=0,0,S22/$G22)</f>
        <v>2.8925473048204058</v>
      </c>
      <c r="Z22" s="41">
        <f>IF($G22=0,0,L22/$G22)</f>
        <v>1.3031112944373333</v>
      </c>
      <c r="AA22" s="36">
        <f>S22*Parametreler!$B$12</f>
        <v>315.51194434344001</v>
      </c>
      <c r="AB22" s="42">
        <f>AA22*F22</f>
        <v>4101.6552764647204</v>
      </c>
      <c r="AC22" s="43" t="s">
        <v>143</v>
      </c>
      <c r="AD22" s="30" t="s">
        <v>101</v>
      </c>
      <c r="AE22" s="44">
        <f>INDEX('İşçilik Özet'!$W$6:$W$200,MATCH($A22&amp;"",'İşçilik Özet'!$A$6:$A$200,0))</f>
        <v>53.244999999999997</v>
      </c>
      <c r="AF22" s="44">
        <f>INDEX('İşçilik Özet'!$X$6:$X$200,MATCH($A22&amp;"",'İşçilik Özet'!$A$6:$A$200,0))</f>
        <v>66.25</v>
      </c>
      <c r="AG22" s="44">
        <f>INDEX('İşçilik Özet'!$Y$6:$Y$200,MATCH($A22&amp;"",'İşçilik Özet'!$A$6:$A$200,0))</f>
        <v>86.7</v>
      </c>
      <c r="AH22" s="45">
        <f>(L22+P22)*F22+IF(E22="Kataforez",N(Q22)*F22,IF(E22="Yaş boya",ROUNDUP(F22/MAX(1,ROUND(IF(ISNUMBER(Q22),Q22,Parametreler!$B$11),0)),0)*Parametreler!$B$10,0))</f>
        <v>2868.2904031221819</v>
      </c>
    </row>
    <row r="23" spans="1:34" ht="15" customHeight="1" x14ac:dyDescent="0.25">
      <c r="A23" s="30">
        <v>395388</v>
      </c>
      <c r="B23" s="30" t="s">
        <v>158</v>
      </c>
      <c r="C23" s="30" t="s">
        <v>148</v>
      </c>
      <c r="D23" s="30" t="s">
        <v>85</v>
      </c>
      <c r="E23" s="30" t="s">
        <v>86</v>
      </c>
      <c r="F23" s="31">
        <v>61</v>
      </c>
      <c r="G23" s="32">
        <v>18.774000000000001</v>
      </c>
      <c r="H23" s="33">
        <f>INDEX('Sac Özet'!$L$5:$L$199,MATCH($A23&amp;"",'Sac Özet'!$A$5:$A$199,0))</f>
        <v>25.830971360000003</v>
      </c>
      <c r="I23" s="33">
        <f>INDEX('Sac Özet'!$M$5:$M$199,MATCH($A23&amp;"",'Sac Özet'!$A$5:$A$199,0))</f>
        <v>7.0441629600000022</v>
      </c>
      <c r="J23" s="34">
        <f>INDEX('Sac Özet'!$N$5:$N$199,MATCH($A23&amp;"",'Sac Özet'!$A$5:$A$199,0))</f>
        <v>18.359414664727279</v>
      </c>
      <c r="K23" s="35">
        <f>SUMPRODUCT((--'Satınalma Parçaları'!$A$2:$A$107=--$A23)*'Satınalma Parçaları'!$L$2:$L$107)</f>
        <v>0</v>
      </c>
      <c r="L23" s="36">
        <f>J23+N(K23)</f>
        <v>18.359414664727279</v>
      </c>
      <c r="M23" s="37">
        <f>AE23/100*Parametreler!$B$7</f>
        <v>2.3747500000000001</v>
      </c>
      <c r="N23" s="37">
        <f>AF23/100*Parametreler!$B$8</f>
        <v>3.0824999999999996</v>
      </c>
      <c r="O23" s="37">
        <f>AG23/100*Parametreler!$B$9</f>
        <v>2.2195999999999998</v>
      </c>
      <c r="P23" s="36">
        <f>SUM(M23:O23)</f>
        <v>7.67685</v>
      </c>
      <c r="Q23" s="38">
        <f>VLOOKUP($A23,'Yaş Boya Listesi'!$B$6:$L$131,11,FALSE())</f>
        <v>4</v>
      </c>
      <c r="R23" s="37">
        <f>IF(E23="Kataforez",N(Q23),IF(E23="Yaş boya",Parametreler!$B$10/MAX(1,ROUND(IF(ISNUMBER(Q23),Q23,Parametreler!$B$11),0)),0))</f>
        <v>20</v>
      </c>
      <c r="S23" s="36">
        <f>L23+P23+R23</f>
        <v>46.036264664727277</v>
      </c>
      <c r="T23" s="39">
        <f>IF(S23=0,0,L23/S23)</f>
        <v>0.39880330861843699</v>
      </c>
      <c r="U23" s="39">
        <f>IF(S23=0,0,P23/S23)</f>
        <v>0.16675657888208203</v>
      </c>
      <c r="V23" s="39">
        <f>IF(S23=0,0,R23/S23)</f>
        <v>0.434440112499481</v>
      </c>
      <c r="W23" s="40">
        <f>SUM(AE23:AG23)/100*F23</f>
        <v>23.414392500000002</v>
      </c>
      <c r="X23" s="37">
        <f>IF($G23=0,0,J23/$G23)</f>
        <v>0.97791704829696802</v>
      </c>
      <c r="Y23" s="37">
        <f>IF($G23=0,0,S23/$G23)</f>
        <v>2.4521287240187108</v>
      </c>
      <c r="Z23" s="41">
        <f>IF($G23=0,0,L23/$G23)</f>
        <v>0.97791704829696802</v>
      </c>
      <c r="AA23" s="36">
        <f>S23*Parametreler!$B$12</f>
        <v>65.831858470560007</v>
      </c>
      <c r="AB23" s="42">
        <f>AA23*F23</f>
        <v>4015.7433667041605</v>
      </c>
      <c r="AC23" s="43"/>
      <c r="AD23" s="30"/>
      <c r="AE23" s="44">
        <f>INDEX('İşçilik Özet'!$W$6:$W$200,MATCH($A23&amp;"",'İşçilik Özet'!$A$6:$A$200,0))</f>
        <v>11.873750000000001</v>
      </c>
      <c r="AF23" s="44">
        <f>INDEX('İşçilik Özet'!$X$6:$X$200,MATCH($A23&amp;"",'İşçilik Özet'!$A$6:$A$200,0))</f>
        <v>15.4125</v>
      </c>
      <c r="AG23" s="44">
        <f>INDEX('İşçilik Özet'!$Y$6:$Y$200,MATCH($A23&amp;"",'İşçilik Özet'!$A$6:$A$200,0))</f>
        <v>11.097999999999999</v>
      </c>
      <c r="AH23" s="45">
        <f>(L23+P23)*F23+IF(E23="Kataforez",N(Q23)*F23,IF(E23="Yaş boya",ROUNDUP(F23/MAX(1,ROUND(IF(ISNUMBER(Q23),Q23,Parametreler!$B$11),0)),0)*Parametreler!$B$10,0))</f>
        <v>2868.212144548364</v>
      </c>
    </row>
    <row r="24" spans="1:34" ht="15" customHeight="1" x14ac:dyDescent="0.25">
      <c r="A24" s="30" t="s">
        <v>126</v>
      </c>
      <c r="B24" s="30" t="s">
        <v>127</v>
      </c>
      <c r="C24" s="30" t="s">
        <v>119</v>
      </c>
      <c r="D24" s="30" t="s">
        <v>85</v>
      </c>
      <c r="E24" s="30" t="s">
        <v>124</v>
      </c>
      <c r="F24" s="31">
        <v>27</v>
      </c>
      <c r="G24" s="32">
        <v>55.572000000000003</v>
      </c>
      <c r="H24" s="33">
        <f>INDEX('Sac Özet'!$L$5:$L$199,MATCH($A24&amp;"",'Sac Özet'!$A$5:$A$199,0))</f>
        <v>112.04662175000001</v>
      </c>
      <c r="I24" s="33">
        <f>INDEX('Sac Özet'!$M$5:$M$199,MATCH($A24&amp;"",'Sac Özet'!$A$5:$A$199,0))</f>
        <v>56.450990650000001</v>
      </c>
      <c r="J24" s="34">
        <f>INDEX('Sac Özet'!$N$5:$N$199,MATCH($A24&amp;"",'Sac Özet'!$A$5:$A$199,0))</f>
        <v>71.162427732727281</v>
      </c>
      <c r="K24" s="35">
        <f>SUMPRODUCT((--'Satınalma Parçaları'!$A$2:$A$107=--$A24)*'Satınalma Parçaları'!$L$2:$L$107)</f>
        <v>0</v>
      </c>
      <c r="L24" s="36">
        <f>J24+N(K24)</f>
        <v>71.162427732727281</v>
      </c>
      <c r="M24" s="37">
        <f>AE24/100*Parametreler!$B$7</f>
        <v>10.878999999999998</v>
      </c>
      <c r="N24" s="37">
        <f>AF24/100*Parametreler!$B$8</f>
        <v>7.75</v>
      </c>
      <c r="O24" s="37">
        <f>AG24/100*Parametreler!$B$9</f>
        <v>18.515999999999998</v>
      </c>
      <c r="P24" s="36">
        <f>SUM(M24:O24)</f>
        <v>37.144999999999996</v>
      </c>
      <c r="Q24" s="47"/>
      <c r="R24" s="37">
        <f>IF(E24="Kataforez",N(Q24),IF(E24="Yaş boya",Parametreler!$B$10/MAX(1,ROUND(IF(ISNUMBER(Q24),Q24,Parametreler!$B$11),0)),0))</f>
        <v>0</v>
      </c>
      <c r="S24" s="36">
        <f>L24+P24+R24</f>
        <v>108.30742773272728</v>
      </c>
      <c r="T24" s="39">
        <f>IF(S24=0,0,L24/S24)</f>
        <v>0.65704106562604769</v>
      </c>
      <c r="U24" s="39">
        <f>IF(S24=0,0,P24/S24)</f>
        <v>0.34295893437395231</v>
      </c>
      <c r="V24" s="39">
        <f>IF(S24=0,0,R24/S24)</f>
        <v>0</v>
      </c>
      <c r="W24" s="40">
        <f>SUM(AE24:AG24)/100*F24</f>
        <v>50.145749999999992</v>
      </c>
      <c r="X24" s="37">
        <f>IF($G24=0,0,J24/$G24)</f>
        <v>1.2805446579703317</v>
      </c>
      <c r="Y24" s="37">
        <f>IF($G24=0,0,S24/$G24)</f>
        <v>1.9489568079739306</v>
      </c>
      <c r="Z24" s="41">
        <f>IF($G24=0,0,L24/$G24)</f>
        <v>1.2805446579703317</v>
      </c>
      <c r="AA24" s="36">
        <f>S24*Parametreler!$B$12</f>
        <v>154.87962165779999</v>
      </c>
      <c r="AB24" s="42">
        <f>AA24*F24</f>
        <v>4181.7497847606001</v>
      </c>
      <c r="AC24" s="43"/>
      <c r="AD24" s="30"/>
      <c r="AE24" s="44">
        <f>INDEX('İşçilik Özet'!$W$6:$W$200,MATCH($A24&amp;"",'İşçilik Özet'!$A$6:$A$200,0))</f>
        <v>54.394999999999996</v>
      </c>
      <c r="AF24" s="44">
        <f>INDEX('İşçilik Özet'!$X$6:$X$200,MATCH($A24&amp;"",'İşçilik Özet'!$A$6:$A$200,0))</f>
        <v>38.75</v>
      </c>
      <c r="AG24" s="44">
        <f>INDEX('İşçilik Özet'!$Y$6:$Y$200,MATCH($A24&amp;"",'İşçilik Özet'!$A$6:$A$200,0))</f>
        <v>92.58</v>
      </c>
      <c r="AH24" s="45">
        <f>(L24+P24)*F24+IF(E24="Kataforez",N(Q24)*F24,IF(E24="Yaş boya",ROUNDUP(F24/MAX(1,ROUND(IF(ISNUMBER(Q24),Q24,Parametreler!$B$11),0)),0)*Parametreler!$B$10,0))</f>
        <v>2924.3005487836363</v>
      </c>
    </row>
    <row r="25" spans="1:34" ht="15" customHeight="1" x14ac:dyDescent="0.25">
      <c r="A25" s="30">
        <v>106544</v>
      </c>
      <c r="B25" s="30" t="s">
        <v>136</v>
      </c>
      <c r="C25" s="30" t="s">
        <v>137</v>
      </c>
      <c r="D25" s="30" t="s">
        <v>23</v>
      </c>
      <c r="E25" s="30" t="s">
        <v>86</v>
      </c>
      <c r="F25" s="31">
        <v>176</v>
      </c>
      <c r="G25" s="32">
        <v>2.734</v>
      </c>
      <c r="H25" s="33">
        <f>INDEX('Sac Özet'!$L$5:$L$199,MATCH($A25&amp;"",'Sac Özet'!$A$5:$A$199,0))</f>
        <v>3.2313027629911275</v>
      </c>
      <c r="I25" s="33">
        <f>INDEX('Sac Özet'!$M$5:$M$199,MATCH($A25&amp;"",'Sac Özet'!$A$5:$A$199,0))</f>
        <v>0.49334836299112794</v>
      </c>
      <c r="J25" s="34">
        <f>INDEX('Sac Özet'!$N$5:$N$199,MATCH($A25&amp;"",'Sac Özet'!$A$5:$A$199,0))</f>
        <v>2.4235827461412605</v>
      </c>
      <c r="K25" s="35">
        <f>SUMPRODUCT((--'Satınalma Parçaları'!$A$2:$A$107=--$A25)*'Satınalma Parçaları'!$L$2:$L$107)</f>
        <v>0</v>
      </c>
      <c r="L25" s="36">
        <f>J25+N(K25)</f>
        <v>2.4235827461412605</v>
      </c>
      <c r="M25" s="37">
        <f>AE25/100*Parametreler!$B$7</f>
        <v>1.3109999999999999</v>
      </c>
      <c r="N25" s="37">
        <f>AF25/100*Parametreler!$B$8</f>
        <v>1.8325</v>
      </c>
      <c r="O25" s="37">
        <f>AG25/100*Parametreler!$B$9</f>
        <v>0.81999999999999984</v>
      </c>
      <c r="P25" s="36">
        <f>SUM(M25:O25)</f>
        <v>3.9634999999999998</v>
      </c>
      <c r="Q25" s="38">
        <f>VLOOKUP($A25,'Yaş Boya Listesi'!$B$6:$L$131,11,FALSE())</f>
        <v>10</v>
      </c>
      <c r="R25" s="37">
        <f>IF(E25="Kataforez",N(Q25),IF(E25="Yaş boya",Parametreler!$B$10/MAX(1,ROUND(IF(ISNUMBER(Q25),Q25,Parametreler!$B$11),0)),0))</f>
        <v>8</v>
      </c>
      <c r="S25" s="36">
        <f>L25+P25+R25</f>
        <v>14.38708274614126</v>
      </c>
      <c r="T25" s="39">
        <f>IF(S25=0,0,L25/S25)</f>
        <v>0.16845546723440416</v>
      </c>
      <c r="U25" s="39">
        <f>IF(S25=0,0,P25/S25)</f>
        <v>0.27549017892894545</v>
      </c>
      <c r="V25" s="39">
        <f>IF(S25=0,0,R25/S25)</f>
        <v>0.55605435383665036</v>
      </c>
      <c r="W25" s="40">
        <f>SUM(AE25:AG25)/100*F25</f>
        <v>34.878799999999998</v>
      </c>
      <c r="X25" s="37">
        <f>IF($G25=0,0,J25/$G25)</f>
        <v>0.88646040458714725</v>
      </c>
      <c r="Y25" s="37">
        <f>IF($G25=0,0,S25/$G25)</f>
        <v>5.2622833745944622</v>
      </c>
      <c r="Z25" s="41">
        <f>IF($G25=0,0,L25/$G25)</f>
        <v>0.88646040458714725</v>
      </c>
      <c r="AA25" s="36">
        <f>S25*Parametreler!$B$12</f>
        <v>20.573528326982</v>
      </c>
      <c r="AB25" s="42">
        <f>AA25*F25</f>
        <v>3620.940985548832</v>
      </c>
      <c r="AC25" s="43"/>
      <c r="AD25" s="30" t="s">
        <v>91</v>
      </c>
      <c r="AE25" s="44">
        <f>INDEX('İşçilik Özet'!$W$6:$W$200,MATCH($A25&amp;"",'İşçilik Özet'!$A$6:$A$200,0))</f>
        <v>6.5549999999999997</v>
      </c>
      <c r="AF25" s="44">
        <f>INDEX('İşçilik Özet'!$X$6:$X$200,MATCH($A25&amp;"",'İşçilik Özet'!$A$6:$A$200,0))</f>
        <v>9.1624999999999996</v>
      </c>
      <c r="AG25" s="44">
        <f>INDEX('İşçilik Özet'!$Y$6:$Y$200,MATCH($A25&amp;"",'İşçilik Özet'!$A$6:$A$200,0))</f>
        <v>4.0999999999999996</v>
      </c>
      <c r="AH25" s="45">
        <f>(L25+P25)*F25+IF(E25="Kataforez",N(Q25)*F25,IF(E25="Yaş boya",ROUNDUP(F25/MAX(1,ROUND(IF(ISNUMBER(Q25),Q25,Parametreler!$B$11),0)),0)*Parametreler!$B$10,0))</f>
        <v>2564.1265633208618</v>
      </c>
    </row>
    <row r="26" spans="1:34" ht="15" customHeight="1" x14ac:dyDescent="0.25">
      <c r="A26" s="30">
        <v>570812</v>
      </c>
      <c r="B26" s="30" t="s">
        <v>138</v>
      </c>
      <c r="C26" s="30" t="s">
        <v>139</v>
      </c>
      <c r="D26" s="30" t="s">
        <v>23</v>
      </c>
      <c r="E26" s="30" t="s">
        <v>86</v>
      </c>
      <c r="F26" s="31">
        <v>81</v>
      </c>
      <c r="G26" s="32">
        <v>2.5299999999999998</v>
      </c>
      <c r="H26" s="33">
        <f>INDEX('Sac Özet'!$L$5:$L$199,MATCH($A26&amp;"",'Sac Özet'!$A$5:$A$199,0))</f>
        <v>3.1895223883273052</v>
      </c>
      <c r="I26" s="33">
        <f>INDEX('Sac Özet'!$M$5:$M$199,MATCH($A26&amp;"",'Sac Özet'!$A$5:$A$199,0))</f>
        <v>0.65953018832730526</v>
      </c>
      <c r="J26" s="34">
        <f>INDEX('Sac Özet'!$N$5:$N$199,MATCH($A26&amp;"",'Sac Özet'!$A$5:$A$199,0))</f>
        <v>2.3357716672092717</v>
      </c>
      <c r="K26" s="35">
        <f>SUMPRODUCT((--'Satınalma Parçaları'!$A$2:$A$107=--$A26)*'Satınalma Parçaları'!$L$2:$L$107)</f>
        <v>0</v>
      </c>
      <c r="L26" s="36">
        <f>J26+N(K26)</f>
        <v>2.3357716672092717</v>
      </c>
      <c r="M26" s="37">
        <f>AE26/100*Parametreler!$B$7</f>
        <v>3.0819999999999999</v>
      </c>
      <c r="N26" s="37">
        <f>AF26/100*Parametreler!$B$8</f>
        <v>2.5824999999999996</v>
      </c>
      <c r="O26" s="37">
        <f>AG26/100*Parametreler!$B$9</f>
        <v>1.6399999999999997</v>
      </c>
      <c r="P26" s="36">
        <f>SUM(M26:O26)</f>
        <v>7.3044999999999991</v>
      </c>
      <c r="Q26" s="38">
        <f>VLOOKUP($A26,'Yaş Boya Listesi'!$B$6:$L$131,11,FALSE())</f>
        <v>4</v>
      </c>
      <c r="R26" s="37">
        <f>IF(E26="Kataforez",N(Q26),IF(E26="Yaş boya",Parametreler!$B$10/MAX(1,ROUND(IF(ISNUMBER(Q26),Q26,Parametreler!$B$11),0)),0))</f>
        <v>20</v>
      </c>
      <c r="S26" s="36">
        <f>L26+P26+R26</f>
        <v>29.640271667209269</v>
      </c>
      <c r="T26" s="39">
        <f>IF(S26=0,0,L26/S26)</f>
        <v>7.8803989836345262E-2</v>
      </c>
      <c r="U26" s="39">
        <f>IF(S26=0,0,P26/S26)</f>
        <v>0.24643836203704209</v>
      </c>
      <c r="V26" s="39">
        <f>IF(S26=0,0,R26/S26)</f>
        <v>0.67475764812661265</v>
      </c>
      <c r="W26" s="40">
        <f>SUM(AE26:AG26)/100*F26</f>
        <v>29.583224999999992</v>
      </c>
      <c r="X26" s="37">
        <f>IF($G26=0,0,J26/$G26)</f>
        <v>0.92322990798785443</v>
      </c>
      <c r="Y26" s="37">
        <f>IF($G26=0,0,S26/$G26)</f>
        <v>11.715522398106431</v>
      </c>
      <c r="Z26" s="41">
        <f>IF($G26=0,0,L26/$G26)</f>
        <v>0.92322990798785443</v>
      </c>
      <c r="AA26" s="36">
        <f>S26*Parametreler!$B$12</f>
        <v>42.385588484109256</v>
      </c>
      <c r="AB26" s="42">
        <f>AA26*F26</f>
        <v>3433.2326672128497</v>
      </c>
      <c r="AC26" s="43"/>
      <c r="AD26" s="30" t="s">
        <v>91</v>
      </c>
      <c r="AE26" s="44">
        <f>INDEX('İşçilik Özet'!$W$6:$W$200,MATCH($A26&amp;"",'İşçilik Özet'!$A$6:$A$200,0))</f>
        <v>15.409999999999998</v>
      </c>
      <c r="AF26" s="44">
        <f>INDEX('İşçilik Özet'!$X$6:$X$200,MATCH($A26&amp;"",'İşçilik Özet'!$A$6:$A$200,0))</f>
        <v>12.9125</v>
      </c>
      <c r="AG26" s="44">
        <f>INDEX('İşçilik Özet'!$Y$6:$Y$200,MATCH($A26&amp;"",'İşçilik Özet'!$A$6:$A$200,0))</f>
        <v>8.1999999999999993</v>
      </c>
      <c r="AH26" s="45">
        <f>(L26+P26)*F26+IF(E26="Kataforez",N(Q26)*F26,IF(E26="Yaş boya",ROUNDUP(F26/MAX(1,ROUND(IF(ISNUMBER(Q26),Q26,Parametreler!$B$11),0)),0)*Parametreler!$B$10,0))</f>
        <v>2460.8620050439508</v>
      </c>
    </row>
    <row r="27" spans="1:34" ht="15" customHeight="1" x14ac:dyDescent="0.25">
      <c r="A27" s="30">
        <v>543533</v>
      </c>
      <c r="B27" s="30" t="s">
        <v>133</v>
      </c>
      <c r="C27" s="30" t="s">
        <v>84</v>
      </c>
      <c r="D27" s="30" t="s">
        <v>23</v>
      </c>
      <c r="E27" s="30" t="s">
        <v>94</v>
      </c>
      <c r="F27" s="31">
        <v>98</v>
      </c>
      <c r="G27" s="32">
        <v>8.6489999999999991</v>
      </c>
      <c r="H27" s="33">
        <f>INDEX('Sac Özet'!$L$5:$L$199,MATCH($A27&amp;"",'Sac Özet'!$A$5:$A$199,0))</f>
        <v>4.9018063015858298</v>
      </c>
      <c r="I27" s="33">
        <f>INDEX('Sac Özet'!$M$5:$M$199,MATCH($A27&amp;"",'Sac Özet'!$A$5:$A$199,0))</f>
        <v>1.0188195015858295</v>
      </c>
      <c r="J27" s="34">
        <f>INDEX('Sac Özet'!$N$5:$N$199,MATCH($A27&amp;"",'Sac Özet'!$A$5:$A$199,0))</f>
        <v>3.5880132043860287</v>
      </c>
      <c r="K27" s="35">
        <f>SUMPRODUCT((--'Satınalma Parçaları'!$A$2:$A$107=--$A27)*'Satınalma Parçaları'!$L$2:$L$107)</f>
        <v>3.12</v>
      </c>
      <c r="L27" s="36">
        <f>J27+N(K27)</f>
        <v>6.7080132043860292</v>
      </c>
      <c r="M27" s="37">
        <f>AE27/100*Parametreler!$B$7</f>
        <v>3.9329999999999998</v>
      </c>
      <c r="N27" s="37">
        <f>AF27/100*Parametreler!$B$8</f>
        <v>3.5825</v>
      </c>
      <c r="O27" s="37">
        <f>AG27/100*Parametreler!$B$9</f>
        <v>2.0640000000000001</v>
      </c>
      <c r="P27" s="36">
        <f>SUM(M27:O27)</f>
        <v>9.5794999999999995</v>
      </c>
      <c r="Q27" s="38">
        <f>IFERROR(INDEX('Kataforez Teklifleri'!$G$6:$G$50,MATCH($A27&amp;"",'Kataforez Teklifleri'!$A$6:$A$50,0)),"")</f>
        <v>6.92</v>
      </c>
      <c r="R27" s="37">
        <f>IF(E27="Kataforez",N(Q27),IF(E27="Yaş boya",Parametreler!$B$10/MAX(1,ROUND(IF(ISNUMBER(Q27),Q27,Parametreler!$B$11),0)),0))</f>
        <v>6.92</v>
      </c>
      <c r="S27" s="36">
        <f>L27+P27+R27</f>
        <v>23.207513204386032</v>
      </c>
      <c r="T27" s="39">
        <f>IF(S27=0,0,L27/S27)</f>
        <v>0.28904489444040343</v>
      </c>
      <c r="U27" s="39">
        <f>IF(S27=0,0,P27/S27)</f>
        <v>0.41277580737041447</v>
      </c>
      <c r="V27" s="39">
        <f>IF(S27=0,0,R27/S27)</f>
        <v>0.29817929818918193</v>
      </c>
      <c r="W27" s="40">
        <f>SUM(AE27:AG27)/100*F27</f>
        <v>46.939549999999997</v>
      </c>
      <c r="X27" s="37">
        <f>IF($G27=0,0,J27/$G27)</f>
        <v>0.4148471735907075</v>
      </c>
      <c r="Y27" s="37">
        <f>IF($G27=0,0,S27/$G27)</f>
        <v>2.6832597068315454</v>
      </c>
      <c r="Z27" s="41">
        <f>IF($G27=0,0,L27/$G27)</f>
        <v>0.77558251871731176</v>
      </c>
      <c r="AA27" s="36">
        <f>S27*Parametreler!$B$12</f>
        <v>33.186743882272026</v>
      </c>
      <c r="AB27" s="42">
        <f>AA27*F27</f>
        <v>3252.3009004626583</v>
      </c>
      <c r="AC27" s="43" t="s">
        <v>134</v>
      </c>
      <c r="AD27" s="30" t="s">
        <v>96</v>
      </c>
      <c r="AE27" s="44">
        <f>INDEX('İşçilik Özet'!$W$6:$W$200,MATCH($A27&amp;"",'İşçilik Özet'!$A$6:$A$200,0))</f>
        <v>19.664999999999999</v>
      </c>
      <c r="AF27" s="44">
        <f>INDEX('İşçilik Özet'!$X$6:$X$200,MATCH($A27&amp;"",'İşçilik Özet'!$A$6:$A$200,0))</f>
        <v>17.912500000000001</v>
      </c>
      <c r="AG27" s="44">
        <f>INDEX('İşçilik Özet'!$Y$6:$Y$200,MATCH($A27&amp;"",'İşçilik Özet'!$A$6:$A$200,0))</f>
        <v>10.32</v>
      </c>
      <c r="AH27" s="45">
        <f>(L27+P27)*F27+IF(E27="Kataforez",N(Q27)*F27,IF(E27="Yaş boya",ROUNDUP(F27/MAX(1,ROUND(IF(ISNUMBER(Q27),Q27,Parametreler!$B$11),0)),0)*Parametreler!$B$10,0))</f>
        <v>2274.3362940298312</v>
      </c>
    </row>
    <row r="28" spans="1:34" ht="15" customHeight="1" x14ac:dyDescent="0.25">
      <c r="A28" s="30">
        <v>543377</v>
      </c>
      <c r="B28" s="30" t="s">
        <v>144</v>
      </c>
      <c r="C28" s="30" t="s">
        <v>139</v>
      </c>
      <c r="D28" s="30" t="s">
        <v>23</v>
      </c>
      <c r="E28" s="30" t="s">
        <v>86</v>
      </c>
      <c r="F28" s="31">
        <v>61</v>
      </c>
      <c r="G28" s="32">
        <v>8.7050000000000001</v>
      </c>
      <c r="H28" s="33">
        <f>INDEX('Sac Özet'!$L$5:$L$199,MATCH($A28&amp;"",'Sac Özet'!$A$5:$A$199,0))</f>
        <v>3.8340931707317067</v>
      </c>
      <c r="I28" s="33">
        <f>INDEX('Sac Özet'!$M$5:$M$199,MATCH($A28&amp;"",'Sac Özet'!$A$5:$A$199,0))</f>
        <v>0.69013677073170698</v>
      </c>
      <c r="J28" s="34">
        <f>INDEX('Sac Özet'!$N$5:$N$199,MATCH($A28&amp;"",'Sac Özet'!$A$5:$A$199,0))</f>
        <v>2.8414115934368072</v>
      </c>
      <c r="K28" s="35">
        <f>SUMPRODUCT((--'Satınalma Parçaları'!$A$2:$A$107=--$A28)*'Satınalma Parçaları'!$L$2:$L$107)</f>
        <v>7.1899999999999995</v>
      </c>
      <c r="L28" s="36">
        <f>J28+N(K28)</f>
        <v>10.031411593436808</v>
      </c>
      <c r="M28" s="37">
        <f>AE28/100*Parametreler!$B$7</f>
        <v>2.3919999999999995</v>
      </c>
      <c r="N28" s="37">
        <f>AF28/100*Parametreler!$B$8</f>
        <v>3.3325000000000005</v>
      </c>
      <c r="O28" s="37">
        <f>AG28/100*Parametreler!$B$9</f>
        <v>2.8699999999999997</v>
      </c>
      <c r="P28" s="36">
        <f>SUM(M28:O28)</f>
        <v>8.5945</v>
      </c>
      <c r="Q28" s="38">
        <f>VLOOKUP($A28,'Yaş Boya Listesi'!$B$6:$L$131,11,FALSE())</f>
        <v>5</v>
      </c>
      <c r="R28" s="37">
        <f>IF(E28="Kataforez",N(Q28),IF(E28="Yaş boya",Parametreler!$B$10/MAX(1,ROUND(IF(ISNUMBER(Q28),Q28,Parametreler!$B$11),0)),0))</f>
        <v>16</v>
      </c>
      <c r="S28" s="36">
        <f>L28+P28+R28</f>
        <v>34.625911593436811</v>
      </c>
      <c r="T28" s="39">
        <f>IF(S28=0,0,L28/S28)</f>
        <v>0.28970823096938242</v>
      </c>
      <c r="U28" s="39">
        <f>IF(S28=0,0,P28/S28)</f>
        <v>0.24821007172065471</v>
      </c>
      <c r="V28" s="39">
        <f>IF(S28=0,0,R28/S28)</f>
        <v>0.46208169730996279</v>
      </c>
      <c r="W28" s="40">
        <f>SUM(AE28:AG28)/100*F28</f>
        <v>26.213225000000001</v>
      </c>
      <c r="X28" s="37">
        <f>IF($G28=0,0,J28/$G28)</f>
        <v>0.32641144094621566</v>
      </c>
      <c r="Y28" s="37">
        <f>IF($G28=0,0,S28/$G28)</f>
        <v>3.9777038016584503</v>
      </c>
      <c r="Z28" s="41">
        <f>IF($G28=0,0,L28/$G28)</f>
        <v>1.1523735316986568</v>
      </c>
      <c r="AA28" s="36">
        <f>S28*Parametreler!$B$12</f>
        <v>49.515053578614641</v>
      </c>
      <c r="AB28" s="42">
        <f>AA28*F28</f>
        <v>3020.4182682954929</v>
      </c>
      <c r="AC28" s="43" t="s">
        <v>145</v>
      </c>
      <c r="AD28" s="30" t="s">
        <v>132</v>
      </c>
      <c r="AE28" s="44">
        <f>INDEX('İşçilik Özet'!$W$6:$W$200,MATCH($A28&amp;"",'İşçilik Özet'!$A$6:$A$200,0))</f>
        <v>11.959999999999999</v>
      </c>
      <c r="AF28" s="44">
        <f>INDEX('İşçilik Özet'!$X$6:$X$200,MATCH($A28&amp;"",'İşçilik Özet'!$A$6:$A$200,0))</f>
        <v>16.662500000000001</v>
      </c>
      <c r="AG28" s="44">
        <f>INDEX('İşçilik Özet'!$Y$6:$Y$200,MATCH($A28&amp;"",'İşçilik Özet'!$A$6:$A$200,0))</f>
        <v>14.35</v>
      </c>
      <c r="AH28" s="45">
        <f>(L28+P28)*F28+IF(E28="Kataforez",N(Q28)*F28,IF(E28="Yaş boya",ROUNDUP(F28/MAX(1,ROUND(IF(ISNUMBER(Q28),Q28,Parametreler!$B$11),0)),0)*Parametreler!$B$10,0))</f>
        <v>2176.1806071996452</v>
      </c>
    </row>
    <row r="29" spans="1:34" ht="15" customHeight="1" x14ac:dyDescent="0.25">
      <c r="A29" s="30">
        <v>448594</v>
      </c>
      <c r="B29" s="30" t="s">
        <v>146</v>
      </c>
      <c r="C29" s="30" t="s">
        <v>117</v>
      </c>
      <c r="D29" s="30" t="s">
        <v>23</v>
      </c>
      <c r="E29" s="30" t="s">
        <v>86</v>
      </c>
      <c r="F29" s="31">
        <v>95</v>
      </c>
      <c r="G29" s="32">
        <v>2.75</v>
      </c>
      <c r="H29" s="33">
        <f>INDEX('Sac Özet'!$L$5:$L$199,MATCH($A29&amp;"",'Sac Özet'!$A$5:$A$199,0))</f>
        <v>3.4680465957216606</v>
      </c>
      <c r="I29" s="33">
        <f>INDEX('Sac Özet'!$M$5:$M$199,MATCH($A29&amp;"",'Sac Özet'!$A$5:$A$199,0))</f>
        <v>0.71807384572166066</v>
      </c>
      <c r="J29" s="34">
        <f>INDEX('Sac Özet'!$N$5:$N$199,MATCH($A29&amp;"",'Sac Özet'!$A$5:$A$199,0))</f>
        <v>2.5394312907047851</v>
      </c>
      <c r="K29" s="35">
        <f>SUMPRODUCT((--'Satınalma Parçaları'!$A$2:$A$107=--$A29)*'Satınalma Parçaları'!$L$2:$L$107)</f>
        <v>0</v>
      </c>
      <c r="L29" s="36">
        <f>J29+N(K29)</f>
        <v>2.5394312907047851</v>
      </c>
      <c r="M29" s="37">
        <f>AE29/100*Parametreler!$B$7</f>
        <v>1.081</v>
      </c>
      <c r="N29" s="37">
        <f>AF29/100*Parametreler!$B$8</f>
        <v>2.5824999999999996</v>
      </c>
      <c r="O29" s="37">
        <f>AG29/100*Parametreler!$B$9</f>
        <v>1.6800000000000002</v>
      </c>
      <c r="P29" s="36">
        <f>SUM(M29:O29)</f>
        <v>5.3434999999999997</v>
      </c>
      <c r="Q29" s="38">
        <f>VLOOKUP($A29,'Yaş Boya Listesi'!$B$6:$L$131,11,FALSE())</f>
        <v>6</v>
      </c>
      <c r="R29" s="37">
        <f>IF(E29="Kataforez",N(Q29),IF(E29="Yaş boya",Parametreler!$B$10/MAX(1,ROUND(IF(ISNUMBER(Q29),Q29,Parametreler!$B$11),0)),0))</f>
        <v>13.333333333333334</v>
      </c>
      <c r="S29" s="36">
        <f>L29+P29+R29</f>
        <v>21.216264624038118</v>
      </c>
      <c r="T29" s="39">
        <f>IF(S29=0,0,L29/S29)</f>
        <v>0.11969266672077604</v>
      </c>
      <c r="U29" s="39">
        <f>IF(S29=0,0,P29/S29)</f>
        <v>0.25185866101734949</v>
      </c>
      <c r="V29" s="39">
        <f>IF(S29=0,0,R29/S29)</f>
        <v>0.62844867226187451</v>
      </c>
      <c r="W29" s="40">
        <f>SUM(AE29:AG29)/100*F29</f>
        <v>25.381625</v>
      </c>
      <c r="X29" s="37">
        <f>IF($G29=0,0,J29/$G29)</f>
        <v>0.92342956025628553</v>
      </c>
      <c r="Y29" s="37">
        <f>IF($G29=0,0,S29/$G29)</f>
        <v>7.715005317832043</v>
      </c>
      <c r="Z29" s="41">
        <f>IF($G29=0,0,L29/$G29)</f>
        <v>0.92342956025628553</v>
      </c>
      <c r="AA29" s="36">
        <f>S29*Parametreler!$B$12</f>
        <v>30.339258412374509</v>
      </c>
      <c r="AB29" s="42">
        <f>AA29*F29</f>
        <v>2882.2295491755785</v>
      </c>
      <c r="AC29" s="43"/>
      <c r="AD29" s="30" t="s">
        <v>91</v>
      </c>
      <c r="AE29" s="44">
        <f>INDEX('İşçilik Özet'!$W$6:$W$200,MATCH($A29&amp;"",'İşçilik Özet'!$A$6:$A$200,0))</f>
        <v>5.4049999999999994</v>
      </c>
      <c r="AF29" s="44">
        <f>INDEX('İşçilik Özet'!$X$6:$X$200,MATCH($A29&amp;"",'İşçilik Özet'!$A$6:$A$200,0))</f>
        <v>12.9125</v>
      </c>
      <c r="AG29" s="44">
        <f>INDEX('İşçilik Özet'!$Y$6:$Y$200,MATCH($A29&amp;"",'İşçilik Özet'!$A$6:$A$200,0))</f>
        <v>8.4</v>
      </c>
      <c r="AH29" s="45">
        <f>(L29+P29)*F29+IF(E29="Kataforez",N(Q29)*F29,IF(E29="Yaş boya",ROUNDUP(F29/MAX(1,ROUND(IF(ISNUMBER(Q29),Q29,Parametreler!$B$11),0)),0)*Parametreler!$B$10,0))</f>
        <v>2028.8784726169547</v>
      </c>
    </row>
    <row r="30" spans="1:34" ht="15" customHeight="1" x14ac:dyDescent="0.25">
      <c r="A30" s="30">
        <v>217605</v>
      </c>
      <c r="B30" s="30" t="s">
        <v>178</v>
      </c>
      <c r="C30" s="30" t="s">
        <v>119</v>
      </c>
      <c r="D30" s="30" t="s">
        <v>23</v>
      </c>
      <c r="E30" s="30" t="s">
        <v>86</v>
      </c>
      <c r="F30" s="31">
        <v>52</v>
      </c>
      <c r="G30" s="32">
        <v>5.5060000000000002</v>
      </c>
      <c r="H30" s="33">
        <f>INDEX('Sac Özet'!$L$5:$L$199,MATCH($A30&amp;"",'Sac Özet'!$A$5:$A$199,0))</f>
        <v>7.0850130228136869</v>
      </c>
      <c r="I30" s="33">
        <f>INDEX('Sac Özet'!$M$5:$M$199,MATCH($A30&amp;"",'Sac Özet'!$A$5:$A$199,0))</f>
        <v>1.5781281228136876</v>
      </c>
      <c r="J30" s="34">
        <f>INDEX('Sac Özet'!$N$5:$N$199,MATCH($A30&amp;"",'Sac Özet'!$A$5:$A$199,0))</f>
        <v>5.1515321235119256</v>
      </c>
      <c r="K30" s="35">
        <f>SUMPRODUCT((--'Satınalma Parçaları'!$A$2:$A$107=--$A30)*'Satınalma Parçaları'!$L$2:$L$107)</f>
        <v>0</v>
      </c>
      <c r="L30" s="36">
        <f>J30+N(K30)</f>
        <v>5.1515321235119256</v>
      </c>
      <c r="M30" s="37">
        <f>AE30/100*Parametreler!$B$7</f>
        <v>2.1447500000000002</v>
      </c>
      <c r="N30" s="37">
        <f>AF30/100*Parametreler!$B$8</f>
        <v>1.8325</v>
      </c>
      <c r="O30" s="37">
        <f>AG30/100*Parametreler!$B$9</f>
        <v>0.72199999999999998</v>
      </c>
      <c r="P30" s="36">
        <f>SUM(M30:O30)</f>
        <v>4.6992500000000001</v>
      </c>
      <c r="Q30" s="38">
        <f>VLOOKUP($A30,'Yaş Boya Listesi'!$B$6:$L$131,11,FALSE())</f>
        <v>3</v>
      </c>
      <c r="R30" s="37">
        <f>IF(E30="Kataforez",N(Q30),IF(E30="Yaş boya",Parametreler!$B$10/MAX(1,ROUND(IF(ISNUMBER(Q30),Q30,Parametreler!$B$11),0)),0))</f>
        <v>26.666666666666668</v>
      </c>
      <c r="S30" s="36">
        <f>L30+P30+R30</f>
        <v>36.517448790178591</v>
      </c>
      <c r="T30" s="39">
        <f>IF(S30=0,0,L30/S30)</f>
        <v>0.14107042781415322</v>
      </c>
      <c r="U30" s="39">
        <f>IF(S30=0,0,P30/S30)</f>
        <v>0.12868505757345974</v>
      </c>
      <c r="V30" s="39">
        <f>IF(S30=0,0,R30/S30)</f>
        <v>0.73024451461238715</v>
      </c>
      <c r="W30" s="40">
        <f>SUM(AE30:AG30)/100*F30</f>
        <v>12.21805</v>
      </c>
      <c r="X30" s="37">
        <f>IF($G30=0,0,J30/$G30)</f>
        <v>0.93562152624626327</v>
      </c>
      <c r="Y30" s="37">
        <f>IF($G30=0,0,S30/$G30)</f>
        <v>6.6323009063164893</v>
      </c>
      <c r="Z30" s="41">
        <f>IF($G30=0,0,L30/$G30)</f>
        <v>0.93562152624626327</v>
      </c>
      <c r="AA30" s="36">
        <f>S30*Parametreler!$B$12</f>
        <v>52.219951769955379</v>
      </c>
      <c r="AB30" s="42">
        <f>AA30*F30</f>
        <v>2715.4374920376799</v>
      </c>
      <c r="AC30" s="43"/>
      <c r="AD30" s="30" t="s">
        <v>91</v>
      </c>
      <c r="AE30" s="44">
        <f>INDEX('İşçilik Özet'!$W$6:$W$200,MATCH($A30&amp;"",'İşçilik Özet'!$A$6:$A$200,0))</f>
        <v>10.723750000000001</v>
      </c>
      <c r="AF30" s="44">
        <f>INDEX('İşçilik Özet'!$X$6:$X$200,MATCH($A30&amp;"",'İşçilik Özet'!$A$6:$A$200,0))</f>
        <v>9.1624999999999996</v>
      </c>
      <c r="AG30" s="44">
        <f>INDEX('İşçilik Özet'!$Y$6:$Y$200,MATCH($A30&amp;"",'İşçilik Özet'!$A$6:$A$200,0))</f>
        <v>3.6100000000000003</v>
      </c>
      <c r="AH30" s="45">
        <f>(L30+P30)*F30+IF(E30="Kataforez",N(Q30)*F30,IF(E30="Yaş boya",ROUNDUP(F30/MAX(1,ROUND(IF(ISNUMBER(Q30),Q30,Parametreler!$B$11),0)),0)*Parametreler!$B$10,0))</f>
        <v>1952.24067042262</v>
      </c>
    </row>
    <row r="31" spans="1:34" ht="15" customHeight="1" x14ac:dyDescent="0.25">
      <c r="A31" s="30">
        <v>681073</v>
      </c>
      <c r="B31" s="30" t="s">
        <v>140</v>
      </c>
      <c r="C31" s="30" t="s">
        <v>99</v>
      </c>
      <c r="D31" s="30" t="s">
        <v>23</v>
      </c>
      <c r="E31" s="30" t="s">
        <v>86</v>
      </c>
      <c r="F31" s="31">
        <v>244</v>
      </c>
      <c r="G31" s="32">
        <v>1.1479999999999999</v>
      </c>
      <c r="H31" s="33">
        <f>INDEX('Sac Özet'!$L$5:$L$199,MATCH($A31&amp;"",'Sac Özet'!$A$5:$A$199,0))</f>
        <v>1.4000570731707316</v>
      </c>
      <c r="I31" s="33">
        <f>INDEX('Sac Özet'!$M$5:$M$199,MATCH($A31&amp;"",'Sac Özet'!$A$5:$A$199,0))</f>
        <v>0.25201027317073166</v>
      </c>
      <c r="J31" s="34">
        <f>INDEX('Sac Özet'!$N$5:$N$199,MATCH($A31&amp;"",'Sac Özet'!$A$5:$A$199,0))</f>
        <v>1.0375695691352549</v>
      </c>
      <c r="K31" s="35">
        <f>SUMPRODUCT((--'Satınalma Parçaları'!$A$2:$A$107=--$A31)*'Satınalma Parçaları'!$L$2:$L$107)</f>
        <v>0</v>
      </c>
      <c r="L31" s="36">
        <f>J31+N(K31)</f>
        <v>1.0375695691352549</v>
      </c>
      <c r="M31" s="37">
        <f>AE31/100*Parametreler!$B$7</f>
        <v>0</v>
      </c>
      <c r="N31" s="37">
        <f>AF31/100*Parametreler!$B$8</f>
        <v>1.8325</v>
      </c>
      <c r="O31" s="37">
        <f>AG31/100*Parametreler!$B$9</f>
        <v>0.55399999999999994</v>
      </c>
      <c r="P31" s="36">
        <f>SUM(M31:O31)</f>
        <v>2.3864999999999998</v>
      </c>
      <c r="Q31" s="38">
        <f>VLOOKUP($A31,'Yaş Boya Listesi'!$B$6:$L$131,11,FALSE())</f>
        <v>20</v>
      </c>
      <c r="R31" s="37">
        <f>IF(E31="Kataforez",N(Q31),IF(E31="Yaş boya",Parametreler!$B$10/MAX(1,ROUND(IF(ISNUMBER(Q31),Q31,Parametreler!$B$11),0)),0))</f>
        <v>4</v>
      </c>
      <c r="S31" s="36">
        <f>L31+P31+R31</f>
        <v>7.4240695691352547</v>
      </c>
      <c r="T31" s="39">
        <f>IF(S31=0,0,L31/S31)</f>
        <v>0.13975752240372791</v>
      </c>
      <c r="U31" s="39">
        <f>IF(S31=0,0,P31/S31)</f>
        <v>0.32145442304603511</v>
      </c>
      <c r="V31" s="39">
        <f>IF(S31=0,0,R31/S31)</f>
        <v>0.53878805455023693</v>
      </c>
      <c r="W31" s="40">
        <f>SUM(AE31:AG31)/100*F31</f>
        <v>29.115299999999998</v>
      </c>
      <c r="X31" s="37">
        <f>IF($G31=0,0,J31/$G31)</f>
        <v>0.9038062448913371</v>
      </c>
      <c r="Y31" s="37">
        <f>IF($G31=0,0,S31/$G31)</f>
        <v>6.4669595549958672</v>
      </c>
      <c r="Z31" s="41">
        <f>IF($G31=0,0,L31/$G31)</f>
        <v>0.9038062448913371</v>
      </c>
      <c r="AA31" s="36">
        <f>S31*Parametreler!$B$12</f>
        <v>10.616419483863414</v>
      </c>
      <c r="AB31" s="42">
        <f>AA31*F31</f>
        <v>2590.406354062673</v>
      </c>
      <c r="AC31" s="43"/>
      <c r="AD31" s="30" t="s">
        <v>91</v>
      </c>
      <c r="AE31" s="44">
        <f>INDEX('İşçilik Özet'!$W$6:$W$200,MATCH($A31&amp;"",'İşçilik Özet'!$A$6:$A$200,0))</f>
        <v>0</v>
      </c>
      <c r="AF31" s="44">
        <f>INDEX('İşçilik Özet'!$X$6:$X$200,MATCH($A31&amp;"",'İşçilik Özet'!$A$6:$A$200,0))</f>
        <v>9.1624999999999996</v>
      </c>
      <c r="AG31" s="44">
        <f>INDEX('İşçilik Özet'!$Y$6:$Y$200,MATCH($A31&amp;"",'İşçilik Özet'!$A$6:$A$200,0))</f>
        <v>2.77</v>
      </c>
      <c r="AH31" s="45">
        <f>(L31+P31)*F31+IF(E31="Kataforez",N(Q31)*F31,IF(E31="Yaş boya",ROUNDUP(F31/MAX(1,ROUND(IF(ISNUMBER(Q31),Q31,Parametreler!$B$11),0)),0)*Parametreler!$B$10,0))</f>
        <v>1875.4729748690022</v>
      </c>
    </row>
    <row r="32" spans="1:34" ht="15" customHeight="1" x14ac:dyDescent="0.25">
      <c r="A32" s="30">
        <v>217603</v>
      </c>
      <c r="B32" s="30" t="s">
        <v>192</v>
      </c>
      <c r="C32" s="30" t="s">
        <v>107</v>
      </c>
      <c r="D32" s="30" t="s">
        <v>23</v>
      </c>
      <c r="E32" s="30" t="s">
        <v>86</v>
      </c>
      <c r="F32" s="31">
        <v>52</v>
      </c>
      <c r="G32" s="32">
        <v>3.8559999999999999</v>
      </c>
      <c r="H32" s="33">
        <f>INDEX('Sac Özet'!$L$5:$L$199,MATCH($A32&amp;"",'Sac Özet'!$A$5:$A$199,0))</f>
        <v>4.9937491444866904</v>
      </c>
      <c r="I32" s="33">
        <f>INDEX('Sac Özet'!$M$5:$M$199,MATCH($A32&amp;"",'Sac Özet'!$A$5:$A$199,0))</f>
        <v>1.1368714444866916</v>
      </c>
      <c r="J32" s="34">
        <f>INDEX('Sac Özet'!$N$5:$N$199,MATCH($A32&amp;"",'Sac Özet'!$A$5:$A$199,0))</f>
        <v>3.6229322973937084</v>
      </c>
      <c r="K32" s="35">
        <f>SUMPRODUCT((--'Satınalma Parçaları'!$A$2:$A$107=--$A32)*'Satınalma Parçaları'!$L$2:$L$107)</f>
        <v>0</v>
      </c>
      <c r="L32" s="36">
        <f>J32+N(K32)</f>
        <v>3.6229322973937084</v>
      </c>
      <c r="M32" s="37">
        <f>AE32/100*Parametreler!$B$7</f>
        <v>1.081</v>
      </c>
      <c r="N32" s="37">
        <f>AF32/100*Parametreler!$B$8</f>
        <v>1.8325</v>
      </c>
      <c r="O32" s="37">
        <f>AG32/100*Parametreler!$B$9</f>
        <v>0.72199999999999998</v>
      </c>
      <c r="P32" s="36">
        <f>SUM(M32:O32)</f>
        <v>3.6355</v>
      </c>
      <c r="Q32" s="38">
        <f>VLOOKUP($A32,'Yaş Boya Listesi'!$B$6:$L$131,11,FALSE())</f>
        <v>3</v>
      </c>
      <c r="R32" s="37">
        <f>IF(E32="Kataforez",N(Q32),IF(E32="Yaş boya",Parametreler!$B$10/MAX(1,ROUND(IF(ISNUMBER(Q32),Q32,Parametreler!$B$11),0)),0))</f>
        <v>26.666666666666668</v>
      </c>
      <c r="S32" s="36">
        <f>L32+P32+R32</f>
        <v>33.925098964060375</v>
      </c>
      <c r="T32" s="39">
        <f>IF(S32=0,0,L32/S32)</f>
        <v>0.10679209222740296</v>
      </c>
      <c r="U32" s="39">
        <f>IF(S32=0,0,P32/S32)</f>
        <v>0.10716254663991936</v>
      </c>
      <c r="V32" s="39">
        <f>IF(S32=0,0,R32/S32)</f>
        <v>0.78604536113267776</v>
      </c>
      <c r="W32" s="40">
        <f>SUM(AE32:AG32)/100*F32</f>
        <v>9.4522999999999993</v>
      </c>
      <c r="X32" s="37">
        <f>IF($G32=0,0,J32/$G32)</f>
        <v>0.93955713106683314</v>
      </c>
      <c r="Y32" s="37">
        <f>IF($G32=0,0,S32/$G32)</f>
        <v>8.7980028433766542</v>
      </c>
      <c r="Z32" s="41">
        <f>IF($G32=0,0,L32/$G32)</f>
        <v>0.93955713106683314</v>
      </c>
      <c r="AA32" s="36">
        <f>S32*Parametreler!$B$12</f>
        <v>48.512891518606331</v>
      </c>
      <c r="AB32" s="42">
        <f>AA32*F32</f>
        <v>2522.6703589675294</v>
      </c>
      <c r="AC32" s="43"/>
      <c r="AD32" s="30" t="s">
        <v>91</v>
      </c>
      <c r="AE32" s="44">
        <f>INDEX('İşçilik Özet'!$W$6:$W$200,MATCH($A32&amp;"",'İşçilik Özet'!$A$6:$A$200,0))</f>
        <v>5.4049999999999994</v>
      </c>
      <c r="AF32" s="44">
        <f>INDEX('İşçilik Özet'!$X$6:$X$200,MATCH($A32&amp;"",'İşçilik Özet'!$A$6:$A$200,0))</f>
        <v>9.1624999999999996</v>
      </c>
      <c r="AG32" s="44">
        <f>INDEX('İşçilik Özet'!$Y$6:$Y$200,MATCH($A32&amp;"",'İşçilik Özet'!$A$6:$A$200,0))</f>
        <v>3.6100000000000003</v>
      </c>
      <c r="AH32" s="45">
        <f>(L32+P32)*F32+IF(E32="Kataforez",N(Q32)*F32,IF(E32="Yaş boya",ROUNDUP(F32/MAX(1,ROUND(IF(ISNUMBER(Q32),Q32,Parametreler!$B$11),0)),0)*Parametreler!$B$10,0))</f>
        <v>1817.4384794644729</v>
      </c>
    </row>
    <row r="33" spans="1:34" ht="15" customHeight="1" x14ac:dyDescent="0.25">
      <c r="A33" s="30">
        <v>112569</v>
      </c>
      <c r="B33" s="30" t="s">
        <v>135</v>
      </c>
      <c r="C33" s="30" t="s">
        <v>130</v>
      </c>
      <c r="D33" s="30" t="s">
        <v>85</v>
      </c>
      <c r="E33" s="30" t="s">
        <v>124</v>
      </c>
      <c r="F33" s="31">
        <v>14</v>
      </c>
      <c r="G33" s="32">
        <v>79.290000000000006</v>
      </c>
      <c r="H33" s="33">
        <f>INDEX('Sac Özet'!$L$5:$L$199,MATCH($A33&amp;"",'Sac Özet'!$A$5:$A$199,0))</f>
        <v>97.758585235999988</v>
      </c>
      <c r="I33" s="33">
        <f>INDEX('Sac Özet'!$M$5:$M$199,MATCH($A33&amp;"",'Sac Özet'!$A$5:$A$199,0))</f>
        <v>18.445309536</v>
      </c>
      <c r="J33" s="34">
        <f>INDEX('Sac Özet'!$N$5:$N$199,MATCH($A33&amp;"",'Sac Özet'!$A$5:$A$199,0))</f>
        <v>72.170296791563658</v>
      </c>
      <c r="K33" s="35">
        <f>SUMPRODUCT((--'Satınalma Parçaları'!$A$2:$A$107=--$A33)*'Satınalma Parçaları'!$L$2:$L$107)</f>
        <v>0</v>
      </c>
      <c r="L33" s="36">
        <f>J33+N(K33)</f>
        <v>72.170296791563658</v>
      </c>
      <c r="M33" s="37">
        <f>AE33/100*Parametreler!$B$7</f>
        <v>24.173000000000002</v>
      </c>
      <c r="N33" s="37">
        <f>AF33/100*Parametreler!$B$8</f>
        <v>19.5</v>
      </c>
      <c r="O33" s="37">
        <f>AG33/100*Parametreler!$B$9</f>
        <v>17.846399999999999</v>
      </c>
      <c r="P33" s="36">
        <f>SUM(M33:O33)</f>
        <v>61.519400000000005</v>
      </c>
      <c r="Q33" s="47"/>
      <c r="R33" s="37">
        <f>IF(E33="Kataforez",N(Q33),IF(E33="Yaş boya",Parametreler!$B$10/MAX(1,ROUND(IF(ISNUMBER(Q33),Q33,Parametreler!$B$11),0)),0))</f>
        <v>0</v>
      </c>
      <c r="S33" s="36">
        <f>L33+P33+R33</f>
        <v>133.68969679156368</v>
      </c>
      <c r="T33" s="39">
        <f>IF(S33=0,0,L33/S33)</f>
        <v>0.53983439654354781</v>
      </c>
      <c r="U33" s="39">
        <f>IF(S33=0,0,P33/S33)</f>
        <v>0.46016560345645208</v>
      </c>
      <c r="V33" s="39">
        <f>IF(S33=0,0,R33/S33)</f>
        <v>0</v>
      </c>
      <c r="W33" s="40">
        <f>SUM(AE33:AG33)/100*F33</f>
        <v>43.063580000000002</v>
      </c>
      <c r="X33" s="37">
        <f>IF($G33=0,0,J33/$G33)</f>
        <v>0.91020679520196313</v>
      </c>
      <c r="Y33" s="37">
        <f>IF($G33=0,0,S33/$G33)</f>
        <v>1.6860852161882163</v>
      </c>
      <c r="Z33" s="41">
        <f>IF($G33=0,0,L33/$G33)</f>
        <v>0.91020679520196313</v>
      </c>
      <c r="AA33" s="36">
        <f>S33*Parametreler!$B$12</f>
        <v>191.17626641193604</v>
      </c>
      <c r="AB33" s="42">
        <f>AA33*F33</f>
        <v>2676.4677297671046</v>
      </c>
      <c r="AC33" s="43"/>
      <c r="AD33" s="30"/>
      <c r="AE33" s="44">
        <f>INDEX('İşçilik Özet'!$W$6:$W$200,MATCH($A33&amp;"",'İşçilik Özet'!$A$6:$A$200,0))</f>
        <v>120.86499999999999</v>
      </c>
      <c r="AF33" s="44">
        <f>INDEX('İşçilik Özet'!$X$6:$X$200,MATCH($A33&amp;"",'İşçilik Özet'!$A$6:$A$200,0))</f>
        <v>97.5</v>
      </c>
      <c r="AG33" s="44">
        <f>INDEX('İşçilik Özet'!$Y$6:$Y$200,MATCH($A33&amp;"",'İşçilik Özet'!$A$6:$A$200,0))</f>
        <v>89.231999999999999</v>
      </c>
      <c r="AH33" s="45">
        <f>(L33+P33)*F33+IF(E33="Kataforez",N(Q33)*F33,IF(E33="Yaş boya",ROUNDUP(F33/MAX(1,ROUND(IF(ISNUMBER(Q33),Q33,Parametreler!$B$11),0)),0)*Parametreler!$B$10,0))</f>
        <v>1871.6557550818916</v>
      </c>
    </row>
    <row r="34" spans="1:34" ht="15" customHeight="1" x14ac:dyDescent="0.25">
      <c r="A34" s="30">
        <v>404313</v>
      </c>
      <c r="B34" s="30" t="s">
        <v>118</v>
      </c>
      <c r="C34" s="30" t="s">
        <v>119</v>
      </c>
      <c r="D34" s="30" t="s">
        <v>23</v>
      </c>
      <c r="E34" s="30" t="s">
        <v>94</v>
      </c>
      <c r="F34" s="31">
        <v>360</v>
      </c>
      <c r="G34" s="32">
        <v>0.38700000000000001</v>
      </c>
      <c r="H34" s="33">
        <f>INDEX('Sac Özet'!$L$5:$L$199,MATCH($A34&amp;"",'Sac Özet'!$A$5:$A$199,0))</f>
        <v>0.48399409293950346</v>
      </c>
      <c r="I34" s="33">
        <f>INDEX('Sac Özet'!$M$5:$M$199,MATCH($A34&amp;"",'Sac Özet'!$A$5:$A$199,0))</f>
        <v>9.698124293950354E-2</v>
      </c>
      <c r="J34" s="34">
        <f>INDEX('Sac Özet'!$N$5:$N$199,MATCH($A34&amp;"",'Sac Özet'!$A$5:$A$199,0))</f>
        <v>0.35545595848049261</v>
      </c>
      <c r="K34" s="35">
        <f>SUMPRODUCT((--'Satınalma Parçaları'!$A$2:$A$107=--$A34)*'Satınalma Parçaları'!$L$2:$L$107)</f>
        <v>0</v>
      </c>
      <c r="L34" s="36">
        <f>J34+N(K34)</f>
        <v>0.35545595848049261</v>
      </c>
      <c r="M34" s="37">
        <f>AE34/100*Parametreler!$B$7</f>
        <v>1.3109999999999999</v>
      </c>
      <c r="N34" s="37">
        <f>AF34/100*Parametreler!$B$8</f>
        <v>1.8325</v>
      </c>
      <c r="O34" s="37">
        <f>AG34/100*Parametreler!$B$9</f>
        <v>0.55399999999999994</v>
      </c>
      <c r="P34" s="36">
        <f>SUM(M34:O34)</f>
        <v>3.6974999999999998</v>
      </c>
      <c r="Q34" s="46">
        <f>IFERROR(INDEX('Kataforez Teklifleri'!$G$6:$G$50,MATCH($A34&amp;"",'Kataforez Teklifleri'!$A$6:$A$50,0)),G34*Parametreler!$B$13)</f>
        <v>0.65575000000000006</v>
      </c>
      <c r="R34" s="37">
        <f>IF(E34="Kataforez",N(Q34),IF(E34="Yaş boya",Parametreler!$B$10/MAX(1,ROUND(IF(ISNUMBER(Q34),Q34,Parametreler!$B$11),0)),0))</f>
        <v>0.65575000000000006</v>
      </c>
      <c r="S34" s="36">
        <f>L34+P34+R34</f>
        <v>4.7087059584804924</v>
      </c>
      <c r="T34" s="39">
        <f>IF(S34=0,0,L34/S34)</f>
        <v>7.548909649801086E-2</v>
      </c>
      <c r="U34" s="39">
        <f>IF(S34=0,0,P34/S34)</f>
        <v>0.78524758874372136</v>
      </c>
      <c r="V34" s="39">
        <f>IF(S34=0,0,R34/S34)</f>
        <v>0.13926331475826784</v>
      </c>
      <c r="W34" s="40">
        <f>SUM(AE34:AG34)/100*F34</f>
        <v>66.555000000000007</v>
      </c>
      <c r="X34" s="37">
        <f>IF($G34=0,0,J34/$G34)</f>
        <v>0.91849084878680254</v>
      </c>
      <c r="Y34" s="37">
        <f>IF($G34=0,0,S34/$G34)</f>
        <v>12.167198859122719</v>
      </c>
      <c r="Z34" s="41">
        <f>IF($G34=0,0,L34/$G34)</f>
        <v>0.91849084878680254</v>
      </c>
      <c r="AA34" s="36">
        <f>S34*Parametreler!$B$12</f>
        <v>6.7334495206271043</v>
      </c>
      <c r="AB34" s="42">
        <f>AA34*F34</f>
        <v>2424.0418274257577</v>
      </c>
      <c r="AC34" s="43"/>
      <c r="AD34" s="30" t="s">
        <v>120</v>
      </c>
      <c r="AE34" s="44">
        <f>INDEX('İşçilik Özet'!$W$6:$W$200,MATCH($A34&amp;"",'İşçilik Özet'!$A$6:$A$200,0))</f>
        <v>6.5549999999999997</v>
      </c>
      <c r="AF34" s="44">
        <f>INDEX('İşçilik Özet'!$X$6:$X$200,MATCH($A34&amp;"",'İşçilik Özet'!$A$6:$A$200,0))</f>
        <v>9.1624999999999996</v>
      </c>
      <c r="AG34" s="44">
        <f>INDEX('İşçilik Özet'!$Y$6:$Y$200,MATCH($A34&amp;"",'İşçilik Özet'!$A$6:$A$200,0))</f>
        <v>2.77</v>
      </c>
      <c r="AH34" s="45">
        <f>(L34+P34)*F34+IF(E34="Kataforez",N(Q34)*F34,IF(E34="Yaş boya",ROUNDUP(F34/MAX(1,ROUND(IF(ISNUMBER(Q34),Q34,Parametreler!$B$11),0)),0)*Parametreler!$B$10,0))</f>
        <v>1695.1341450529771</v>
      </c>
    </row>
    <row r="35" spans="1:34" ht="15" customHeight="1" x14ac:dyDescent="0.25">
      <c r="A35" s="30">
        <v>383453</v>
      </c>
      <c r="B35" s="30" t="s">
        <v>162</v>
      </c>
      <c r="C35" s="30" t="s">
        <v>148</v>
      </c>
      <c r="D35" s="30" t="s">
        <v>85</v>
      </c>
      <c r="E35" s="30" t="s">
        <v>86</v>
      </c>
      <c r="F35" s="31">
        <v>29</v>
      </c>
      <c r="G35" s="32">
        <v>17.22</v>
      </c>
      <c r="H35" s="33">
        <f>INDEX('Sac Özet'!$L$5:$L$199,MATCH($A35&amp;"",'Sac Özet'!$A$5:$A$199,0))</f>
        <v>22.108857749999999</v>
      </c>
      <c r="I35" s="33">
        <f>INDEX('Sac Özet'!$M$5:$M$199,MATCH($A35&amp;"",'Sac Özet'!$A$5:$A$199,0))</f>
        <v>4.883139599999998</v>
      </c>
      <c r="J35" s="34">
        <f>INDEX('Sac Özet'!$N$5:$N$199,MATCH($A35&amp;"",'Sac Özet'!$A$5:$A$199,0))</f>
        <v>16.088967785454546</v>
      </c>
      <c r="K35" s="35">
        <f>SUMPRODUCT((--'Satınalma Parçaları'!$A$2:$A$107=--$A35)*'Satınalma Parçaları'!$L$2:$L$107)</f>
        <v>0</v>
      </c>
      <c r="L35" s="36">
        <f>J35+N(K35)</f>
        <v>16.088967785454546</v>
      </c>
      <c r="M35" s="37">
        <f>AE35/100*Parametreler!$B$7</f>
        <v>6.6987500000000013</v>
      </c>
      <c r="N35" s="37">
        <f>AF35/100*Parametreler!$B$8</f>
        <v>3.0824999999999996</v>
      </c>
      <c r="O35" s="37">
        <f>AG35/100*Parametreler!$B$9</f>
        <v>4.2012</v>
      </c>
      <c r="P35" s="36">
        <f>SUM(M35:O35)</f>
        <v>13.98245</v>
      </c>
      <c r="Q35" s="38">
        <f>VLOOKUP($A35,'Yaş Boya Listesi'!$B$6:$L$131,11,FALSE())</f>
        <v>3</v>
      </c>
      <c r="R35" s="37">
        <f>IF(E35="Kataforez",N(Q35),IF(E35="Yaş boya",Parametreler!$B$10/MAX(1,ROUND(IF(ISNUMBER(Q35),Q35,Parametreler!$B$11),0)),0))</f>
        <v>26.666666666666668</v>
      </c>
      <c r="S35" s="36">
        <f>L35+P35+R35</f>
        <v>56.738084452121214</v>
      </c>
      <c r="T35" s="39">
        <f>IF(S35=0,0,L35/S35)</f>
        <v>0.28356557928971537</v>
      </c>
      <c r="U35" s="39">
        <f>IF(S35=0,0,P35/S35)</f>
        <v>0.24643852775465441</v>
      </c>
      <c r="V35" s="39">
        <f>IF(S35=0,0,R35/S35)</f>
        <v>0.46999589295563021</v>
      </c>
      <c r="W35" s="40">
        <f>SUM(AE35:AG35)/100*F35</f>
        <v>20.274552499999999</v>
      </c>
      <c r="X35" s="37">
        <f>IF($G35=0,0,J35/$G35)</f>
        <v>0.9343186867279063</v>
      </c>
      <c r="Y35" s="37">
        <f>IF($G35=0,0,S35/$G35)</f>
        <v>3.2948945674867143</v>
      </c>
      <c r="Z35" s="41">
        <f>IF($G35=0,0,L35/$G35)</f>
        <v>0.9343186867279063</v>
      </c>
      <c r="AA35" s="36">
        <f>S35*Parametreler!$B$12</f>
        <v>81.135460766533328</v>
      </c>
      <c r="AB35" s="42">
        <f>AA35*F35</f>
        <v>2352.9283622294665</v>
      </c>
      <c r="AC35" s="43"/>
      <c r="AD35" s="30"/>
      <c r="AE35" s="44">
        <f>INDEX('İşçilik Özet'!$W$6:$W$200,MATCH($A35&amp;"",'İşçilik Özet'!$A$6:$A$200,0))</f>
        <v>33.493750000000006</v>
      </c>
      <c r="AF35" s="44">
        <f>INDEX('İşçilik Özet'!$X$6:$X$200,MATCH($A35&amp;"",'İşçilik Özet'!$A$6:$A$200,0))</f>
        <v>15.4125</v>
      </c>
      <c r="AG35" s="44">
        <f>INDEX('İşçilik Özet'!$Y$6:$Y$200,MATCH($A35&amp;"",'İşçilik Özet'!$A$6:$A$200,0))</f>
        <v>21.006</v>
      </c>
      <c r="AH35" s="45">
        <f>(L35+P35)*F35+IF(E35="Kataforez",N(Q35)*F35,IF(E35="Yaş boya",ROUNDUP(F35/MAX(1,ROUND(IF(ISNUMBER(Q35),Q35,Parametreler!$B$11),0)),0)*Parametreler!$B$10,0))</f>
        <v>1672.0711157781818</v>
      </c>
    </row>
    <row r="36" spans="1:34" ht="15" customHeight="1" x14ac:dyDescent="0.25">
      <c r="A36" s="30">
        <v>106257</v>
      </c>
      <c r="B36" s="30" t="s">
        <v>159</v>
      </c>
      <c r="C36" s="30" t="s">
        <v>110</v>
      </c>
      <c r="D36" s="30" t="s">
        <v>85</v>
      </c>
      <c r="E36" s="30" t="s">
        <v>86</v>
      </c>
      <c r="F36" s="31">
        <v>55</v>
      </c>
      <c r="G36" s="32">
        <v>8.7010000000000005</v>
      </c>
      <c r="H36" s="33">
        <f>INDEX('Sac Özet'!$L$5:$L$199,MATCH($A36&amp;"",'Sac Özet'!$A$5:$A$199,0))</f>
        <v>11.481274979999998</v>
      </c>
      <c r="I36" s="33">
        <f>INDEX('Sac Özet'!$M$5:$M$199,MATCH($A36&amp;"",'Sac Özet'!$A$5:$A$199,0))</f>
        <v>2.77743048</v>
      </c>
      <c r="J36" s="34">
        <f>INDEX('Sac Özet'!$N$5:$N$199,MATCH($A36&amp;"",'Sac Özet'!$A$5:$A$199,0))</f>
        <v>8.2760427359999991</v>
      </c>
      <c r="K36" s="35">
        <f>SUMPRODUCT((--'Satınalma Parçaları'!$A$2:$A$107=--$A36)*'Satınalma Parçaları'!$L$2:$L$107)</f>
        <v>0</v>
      </c>
      <c r="L36" s="36">
        <f>J36+N(K36)</f>
        <v>8.2760427359999991</v>
      </c>
      <c r="M36" s="37">
        <f>AE36/100*Parametreler!$B$7</f>
        <v>2.3747500000000001</v>
      </c>
      <c r="N36" s="37">
        <f>AF36/100*Parametreler!$B$8</f>
        <v>2.5824999999999996</v>
      </c>
      <c r="O36" s="37">
        <f>AG36/100*Parametreler!$B$9</f>
        <v>3.0353999999999997</v>
      </c>
      <c r="P36" s="36">
        <f>SUM(M36:O36)</f>
        <v>7.9926499999999994</v>
      </c>
      <c r="Q36" s="38">
        <f>VLOOKUP($A36,'Yaş Boya Listesi'!$B$6:$L$131,11,FALSE())</f>
        <v>6</v>
      </c>
      <c r="R36" s="37">
        <f>IF(E36="Kataforez",N(Q36),IF(E36="Yaş boya",Parametreler!$B$10/MAX(1,ROUND(IF(ISNUMBER(Q36),Q36,Parametreler!$B$11),0)),0))</f>
        <v>13.333333333333334</v>
      </c>
      <c r="S36" s="36">
        <f>L36+P36+R36</f>
        <v>29.602026069333334</v>
      </c>
      <c r="T36" s="39">
        <f>IF(S36=0,0,L36/S36)</f>
        <v>0.27957690181800393</v>
      </c>
      <c r="U36" s="39">
        <f>IF(S36=0,0,P36/S36)</f>
        <v>0.27000347818354586</v>
      </c>
      <c r="V36" s="39">
        <f>IF(S36=0,0,R36/S36)</f>
        <v>0.45041961999845009</v>
      </c>
      <c r="W36" s="40">
        <f>SUM(AE36:AG36)/100*F36</f>
        <v>21.9797875</v>
      </c>
      <c r="X36" s="37">
        <f>IF($G36=0,0,J36/$G36)</f>
        <v>0.95115995126996877</v>
      </c>
      <c r="Y36" s="37">
        <f>IF($G36=0,0,S36/$G36)</f>
        <v>3.402140681454239</v>
      </c>
      <c r="Z36" s="41">
        <f>IF($G36=0,0,L36/$G36)</f>
        <v>0.95115995126996877</v>
      </c>
      <c r="AA36" s="36">
        <f>S36*Parametreler!$B$12</f>
        <v>42.330897279146669</v>
      </c>
      <c r="AB36" s="42">
        <f>AA36*F36</f>
        <v>2328.1993503530666</v>
      </c>
      <c r="AC36" s="43"/>
      <c r="AD36" s="30"/>
      <c r="AE36" s="44">
        <f>INDEX('İşçilik Özet'!$W$6:$W$200,MATCH($A36&amp;"",'İşçilik Özet'!$A$6:$A$200,0))</f>
        <v>11.873750000000001</v>
      </c>
      <c r="AF36" s="44">
        <f>INDEX('İşçilik Özet'!$X$6:$X$200,MATCH($A36&amp;"",'İşçilik Özet'!$A$6:$A$200,0))</f>
        <v>12.9125</v>
      </c>
      <c r="AG36" s="44">
        <f>INDEX('İşçilik Özet'!$Y$6:$Y$200,MATCH($A36&amp;"",'İşçilik Özet'!$A$6:$A$200,0))</f>
        <v>15.177</v>
      </c>
      <c r="AH36" s="45">
        <f>(L36+P36)*F36+IF(E36="Kataforez",N(Q36)*F36,IF(E36="Yaş boya",ROUNDUP(F36/MAX(1,ROUND(IF(ISNUMBER(Q36),Q36,Parametreler!$B$11),0)),0)*Parametreler!$B$10,0))</f>
        <v>1694.7781004799999</v>
      </c>
    </row>
    <row r="37" spans="1:34" ht="15" customHeight="1" x14ac:dyDescent="0.25">
      <c r="A37" s="237">
        <v>213370</v>
      </c>
      <c r="B37" s="237" t="s">
        <v>174</v>
      </c>
      <c r="C37" s="30" t="s">
        <v>117</v>
      </c>
      <c r="D37" s="30" t="s">
        <v>23</v>
      </c>
      <c r="E37" s="30" t="s">
        <v>86</v>
      </c>
      <c r="F37" s="31">
        <v>52</v>
      </c>
      <c r="G37" s="32">
        <v>5.7450000000000001</v>
      </c>
      <c r="H37" s="33">
        <f>INDEX('Sac Özet'!$L$5:$L$199,MATCH($A37&amp;"",'Sac Özet'!$A$5:$A$199,0))</f>
        <v>7.2521780557358788</v>
      </c>
      <c r="I37" s="33">
        <f>INDEX('Sac Özet'!$M$5:$M$199,MATCH($A37&amp;"",'Sac Özet'!$A$5:$A$199,0))</f>
        <v>1.5071477057358798</v>
      </c>
      <c r="J37" s="34">
        <f>INDEX('Sac Özet'!$N$5:$N$199,MATCH($A37&amp;"",'Sac Özet'!$A$5:$A$199,0))</f>
        <v>5.3084941045296885</v>
      </c>
      <c r="K37" s="35">
        <f>SUMPRODUCT((--'Satınalma Parçaları'!$A$2:$A$107=--$A37)*'Satınalma Parçaları'!$L$2:$L$107)</f>
        <v>0</v>
      </c>
      <c r="L37" s="36">
        <f>J37+N(K37)</f>
        <v>5.3084941045296885</v>
      </c>
      <c r="M37" s="37">
        <f>AE37/100*Parametreler!$B$7</f>
        <v>2.3747500000000001</v>
      </c>
      <c r="N37" s="37">
        <f>AF37/100*Parametreler!$B$8</f>
        <v>2.0825</v>
      </c>
      <c r="O37" s="37">
        <f>AG37/100*Parametreler!$B$9</f>
        <v>0.81999999999999984</v>
      </c>
      <c r="P37" s="36">
        <f>SUM(M37:O37)</f>
        <v>5.2772500000000004</v>
      </c>
      <c r="Q37" s="38">
        <f>VLOOKUP($A37,'Yaş Boya Listesi'!$B$6:$L$131,11,FALSE())</f>
        <v>4</v>
      </c>
      <c r="R37" s="37">
        <f>IF(E37="Kataforez",N(Q37),IF(E37="Yaş boya",Parametreler!$B$10/MAX(1,ROUND(IF(ISNUMBER(Q37),Q37,Parametreler!$B$11),0)),0))</f>
        <v>20</v>
      </c>
      <c r="S37" s="36">
        <f>L37+P37+R37</f>
        <v>30.585744104529688</v>
      </c>
      <c r="T37" s="39">
        <f>IF(S37=0,0,L37/S37)</f>
        <v>0.1735610579355992</v>
      </c>
      <c r="U37" s="39">
        <f>IF(S37=0,0,P37/S37)</f>
        <v>0.17253953286094648</v>
      </c>
      <c r="V37" s="39">
        <f>IF(S37=0,0,R37/S37)</f>
        <v>0.65389940920345435</v>
      </c>
      <c r="W37" s="40">
        <f>SUM(AE37:AG37)/100*F37</f>
        <v>13.720850000000002</v>
      </c>
      <c r="X37" s="37">
        <f>IF($G37=0,0,J37/$G37)</f>
        <v>0.92401986153693449</v>
      </c>
      <c r="Y37" s="37">
        <f>IF($G37=0,0,S37/$G37)</f>
        <v>5.3238893132340621</v>
      </c>
      <c r="Z37" s="41">
        <f>IF($G37=0,0,L37/$G37)</f>
        <v>0.92401986153693449</v>
      </c>
      <c r="AA37" s="36">
        <f>S37*Parametreler!$B$12</f>
        <v>43.737614069477452</v>
      </c>
      <c r="AB37" s="42">
        <f>AA37*F37</f>
        <v>2274.3559316128276</v>
      </c>
      <c r="AC37" s="43"/>
      <c r="AD37" s="30" t="s">
        <v>2367</v>
      </c>
      <c r="AE37" s="44">
        <f>INDEX('İşçilik Özet'!$W$6:$W$200,MATCH($A37&amp;"",'İşçilik Özet'!$A$6:$A$200,0))</f>
        <v>11.873750000000001</v>
      </c>
      <c r="AF37" s="44">
        <f>INDEX('İşçilik Özet'!$X$6:$X$200,MATCH($A37&amp;"",'İşçilik Özet'!$A$6:$A$200,0))</f>
        <v>10.4125</v>
      </c>
      <c r="AG37" s="44">
        <f>INDEX('İşçilik Özet'!$Y$6:$Y$200,MATCH($A37&amp;"",'İşçilik Özet'!$A$6:$A$200,0))</f>
        <v>4.0999999999999996</v>
      </c>
      <c r="AH37" s="45">
        <f>(L37+P37)*F37+IF(E37="Kataforez",N(Q37)*F37,IF(E37="Yaş boya",ROUNDUP(F37/MAX(1,ROUND(IF(ISNUMBER(Q37),Q37,Parametreler!$B$11),0)),0)*Parametreler!$B$10,0))</f>
        <v>1590.4586934355439</v>
      </c>
    </row>
    <row r="38" spans="1:34" ht="15" customHeight="1" x14ac:dyDescent="0.25">
      <c r="A38" s="30">
        <v>678363</v>
      </c>
      <c r="B38" s="30" t="s">
        <v>149</v>
      </c>
      <c r="C38" s="30" t="s">
        <v>107</v>
      </c>
      <c r="D38" s="30" t="s">
        <v>23</v>
      </c>
      <c r="E38" s="30" t="s">
        <v>86</v>
      </c>
      <c r="F38" s="31">
        <v>86</v>
      </c>
      <c r="G38" s="32">
        <v>4.63</v>
      </c>
      <c r="H38" s="33">
        <f>INDEX('Sac Özet'!$L$5:$L$199,MATCH($A38&amp;"",'Sac Özet'!$A$5:$A$199,0))</f>
        <v>5.8344668181396635</v>
      </c>
      <c r="I38" s="33">
        <f>INDEX('Sac Özet'!$M$5:$M$199,MATCH($A38&amp;"",'Sac Özet'!$A$5:$A$199,0))</f>
        <v>1.2044583181396635</v>
      </c>
      <c r="J38" s="34">
        <f>INDEX('Sac Özet'!$N$5:$N$199,MATCH($A38&amp;"",'Sac Özet'!$A$5:$A$199,0))</f>
        <v>4.2733870958478413</v>
      </c>
      <c r="K38" s="35">
        <f>SUMPRODUCT((--'Satınalma Parçaları'!$A$2:$A$107=--$A38)*'Satınalma Parçaları'!$L$2:$L$107)</f>
        <v>0</v>
      </c>
      <c r="L38" s="36">
        <f>J38+N(K38)</f>
        <v>4.2733870958478413</v>
      </c>
      <c r="M38" s="37">
        <f>AE38/100*Parametreler!$B$7</f>
        <v>2.6219999999999999</v>
      </c>
      <c r="N38" s="37">
        <f>AF38/100*Parametreler!$B$8</f>
        <v>2.0825</v>
      </c>
      <c r="O38" s="37">
        <f>AG38/100*Parametreler!$B$9</f>
        <v>1.1199999999999999</v>
      </c>
      <c r="P38" s="36">
        <f>SUM(M38:O38)</f>
        <v>5.8244999999999996</v>
      </c>
      <c r="Q38" s="38">
        <f>VLOOKUP($A38,'Yaş Boya Listesi'!$B$6:$L$131,11,FALSE())</f>
        <v>10</v>
      </c>
      <c r="R38" s="37">
        <f>IF(E38="Kataforez",N(Q38),IF(E38="Yaş boya",Parametreler!$B$10/MAX(1,ROUND(IF(ISNUMBER(Q38),Q38,Parametreler!$B$11),0)),0))</f>
        <v>8</v>
      </c>
      <c r="S38" s="36">
        <f>L38+P38+R38</f>
        <v>18.097887095847842</v>
      </c>
      <c r="T38" s="39">
        <f>IF(S38=0,0,L38/S38)</f>
        <v>0.23612629878922578</v>
      </c>
      <c r="U38" s="39">
        <f>IF(S38=0,0,P38/S38)</f>
        <v>0.32183314931477841</v>
      </c>
      <c r="V38" s="39">
        <f>IF(S38=0,0,R38/S38)</f>
        <v>0.44204055189599578</v>
      </c>
      <c r="W38" s="40">
        <f>SUM(AE38:AG38)/100*F38</f>
        <v>25.045350000000003</v>
      </c>
      <c r="X38" s="37">
        <f>IF($G38=0,0,J38/$G38)</f>
        <v>0.92297777448117524</v>
      </c>
      <c r="Y38" s="37">
        <f>IF($G38=0,0,S38/$G38)</f>
        <v>3.9088309062306354</v>
      </c>
      <c r="Z38" s="41">
        <f>IF($G38=0,0,L38/$G38)</f>
        <v>0.92297777448117524</v>
      </c>
      <c r="AA38" s="36">
        <f>S38*Parametreler!$B$12</f>
        <v>25.879978547062411</v>
      </c>
      <c r="AB38" s="42">
        <f>AA38*F38</f>
        <v>2225.6781550473675</v>
      </c>
      <c r="AC38" s="43"/>
      <c r="AD38" s="30" t="s">
        <v>91</v>
      </c>
      <c r="AE38" s="44">
        <f>INDEX('İşçilik Özet'!$W$6:$W$200,MATCH($A38&amp;"",'İşçilik Özet'!$A$6:$A$200,0))</f>
        <v>13.11</v>
      </c>
      <c r="AF38" s="44">
        <f>INDEX('İşçilik Özet'!$X$6:$X$200,MATCH($A38&amp;"",'İşçilik Özet'!$A$6:$A$200,0))</f>
        <v>10.4125</v>
      </c>
      <c r="AG38" s="44">
        <f>INDEX('İşçilik Özet'!$Y$6:$Y$200,MATCH($A38&amp;"",'İşçilik Özet'!$A$6:$A$200,0))</f>
        <v>5.6</v>
      </c>
      <c r="AH38" s="45">
        <f>(L38+P38)*F38+IF(E38="Kataforez",N(Q38)*F38,IF(E38="Yaş boya",ROUNDUP(F38/MAX(1,ROUND(IF(ISNUMBER(Q38),Q38,Parametreler!$B$11),0)),0)*Parametreler!$B$10,0))</f>
        <v>1588.4182902429143</v>
      </c>
    </row>
    <row r="39" spans="1:34" ht="15" customHeight="1" x14ac:dyDescent="0.25">
      <c r="A39" s="30">
        <v>182458</v>
      </c>
      <c r="B39" s="30" t="s">
        <v>167</v>
      </c>
      <c r="C39" s="30" t="s">
        <v>107</v>
      </c>
      <c r="D39" s="30" t="s">
        <v>85</v>
      </c>
      <c r="E39" s="30" t="s">
        <v>86</v>
      </c>
      <c r="F39" s="31">
        <v>19</v>
      </c>
      <c r="G39" s="32">
        <v>26.933</v>
      </c>
      <c r="H39" s="33">
        <f>INDEX('Sac Özet'!$L$5:$L$199,MATCH($A39&amp;"",'Sac Özet'!$A$5:$A$199,0))</f>
        <v>28.964537499999999</v>
      </c>
      <c r="I39" s="33">
        <f>INDEX('Sac Özet'!$M$5:$M$199,MATCH($A39&amp;"",'Sac Özet'!$A$5:$A$199,0))</f>
        <v>2.0045602999999996</v>
      </c>
      <c r="J39" s="34">
        <f>INDEX('Sac Özet'!$N$5:$N$199,MATCH($A39&amp;"",'Sac Özet'!$A$5:$A$199,0))</f>
        <v>22.515592083636363</v>
      </c>
      <c r="K39" s="35">
        <f>SUMPRODUCT((--'Satınalma Parçaları'!$A$2:$A$107=--$A39)*'Satınalma Parçaları'!$L$2:$L$107)</f>
        <v>0</v>
      </c>
      <c r="L39" s="36">
        <f>J39+N(K39)</f>
        <v>22.515592083636363</v>
      </c>
      <c r="M39" s="37">
        <f>AE39/100*Parametreler!$B$7</f>
        <v>2.1447500000000002</v>
      </c>
      <c r="N39" s="37">
        <f>AF39/100*Parametreler!$B$8</f>
        <v>4</v>
      </c>
      <c r="O39" s="37">
        <f>AG39/100*Parametreler!$B$9</f>
        <v>11.5276</v>
      </c>
      <c r="P39" s="36">
        <f>SUM(M39:O39)</f>
        <v>17.672350000000002</v>
      </c>
      <c r="Q39" s="38">
        <f>VLOOKUP($A39,'Yaş Boya Listesi'!$B$6:$L$131,11,FALSE())</f>
        <v>2</v>
      </c>
      <c r="R39" s="37">
        <f>IF(E39="Kataforez",N(Q39),IF(E39="Yaş boya",Parametreler!$B$10/MAX(1,ROUND(IF(ISNUMBER(Q39),Q39,Parametreler!$B$11),0)),0))</f>
        <v>40</v>
      </c>
      <c r="S39" s="36">
        <f>L39+P39+R39</f>
        <v>80.187942083636358</v>
      </c>
      <c r="T39" s="39">
        <f>IF(S39=0,0,L39/S39)</f>
        <v>0.28078525896265683</v>
      </c>
      <c r="U39" s="39">
        <f>IF(S39=0,0,P39/S39)</f>
        <v>0.22038662597884937</v>
      </c>
      <c r="V39" s="39">
        <f>IF(S39=0,0,R39/S39)</f>
        <v>0.49882811505849389</v>
      </c>
      <c r="W39" s="40">
        <f>SUM(AE39:AG39)/100*F39</f>
        <v>16.788732500000002</v>
      </c>
      <c r="X39" s="37">
        <f>IF($G39=0,0,J39/$G39)</f>
        <v>0.83598529995308224</v>
      </c>
      <c r="Y39" s="37">
        <f>IF($G39=0,0,S39/$G39)</f>
        <v>2.9773119252826032</v>
      </c>
      <c r="Z39" s="41">
        <f>IF($G39=0,0,L39/$G39)</f>
        <v>0.83598529995308224</v>
      </c>
      <c r="AA39" s="36">
        <f>S39*Parametreler!$B$12</f>
        <v>114.66875717959999</v>
      </c>
      <c r="AB39" s="42">
        <f>AA39*F39</f>
        <v>2178.7063864123998</v>
      </c>
      <c r="AC39" s="43"/>
      <c r="AD39" s="30"/>
      <c r="AE39" s="44">
        <f>INDEX('İşçilik Özet'!$W$6:$W$200,MATCH($A39&amp;"",'İşçilik Özet'!$A$6:$A$200,0))</f>
        <v>10.723750000000001</v>
      </c>
      <c r="AF39" s="44">
        <f>INDEX('İşçilik Özet'!$X$6:$X$200,MATCH($A39&amp;"",'İşçilik Özet'!$A$6:$A$200,0))</f>
        <v>20</v>
      </c>
      <c r="AG39" s="44">
        <f>INDEX('İşçilik Özet'!$Y$6:$Y$200,MATCH($A39&amp;"",'İşçilik Özet'!$A$6:$A$200,0))</f>
        <v>57.637999999999998</v>
      </c>
      <c r="AH39" s="45">
        <f>(L39+P39)*F39+IF(E39="Kataforez",N(Q39)*F39,IF(E39="Yaş boya",ROUNDUP(F39/MAX(1,ROUND(IF(ISNUMBER(Q39),Q39,Parametreler!$B$11),0)),0)*Parametreler!$B$10,0))</f>
        <v>1563.5708995890909</v>
      </c>
    </row>
    <row r="40" spans="1:34" ht="15" customHeight="1" x14ac:dyDescent="0.25">
      <c r="A40" s="30">
        <v>182459</v>
      </c>
      <c r="B40" s="30" t="s">
        <v>168</v>
      </c>
      <c r="C40" s="30" t="s">
        <v>119</v>
      </c>
      <c r="D40" s="30" t="s">
        <v>85</v>
      </c>
      <c r="E40" s="30" t="s">
        <v>86</v>
      </c>
      <c r="F40" s="31">
        <v>19</v>
      </c>
      <c r="G40" s="32">
        <v>26.806000000000001</v>
      </c>
      <c r="H40" s="33">
        <f>INDEX('Sac Özet'!$L$5:$L$199,MATCH($A40&amp;"",'Sac Özet'!$A$5:$A$199,0))</f>
        <v>28.835012499999998</v>
      </c>
      <c r="I40" s="33">
        <f>INDEX('Sac Özet'!$M$5:$M$199,MATCH($A40&amp;"",'Sac Özet'!$A$5:$A$199,0))</f>
        <v>1.9971028000000008</v>
      </c>
      <c r="J40" s="34">
        <f>INDEX('Sac Özet'!$N$5:$N$199,MATCH($A40&amp;"",'Sac Özet'!$A$5:$A$199,0))</f>
        <v>22.414412720000001</v>
      </c>
      <c r="K40" s="35">
        <f>SUMPRODUCT((--'Satınalma Parçaları'!$A$2:$A$107=--$A40)*'Satınalma Parçaları'!$L$2:$L$107)</f>
        <v>0</v>
      </c>
      <c r="L40" s="36">
        <f>J40+N(K40)</f>
        <v>22.414412720000001</v>
      </c>
      <c r="M40" s="37">
        <f>AE40/100*Parametreler!$B$7</f>
        <v>2.1447500000000002</v>
      </c>
      <c r="N40" s="37">
        <f>AF40/100*Parametreler!$B$8</f>
        <v>4</v>
      </c>
      <c r="O40" s="37">
        <f>AG40/100*Parametreler!$B$9</f>
        <v>11.5276</v>
      </c>
      <c r="P40" s="36">
        <f>SUM(M40:O40)</f>
        <v>17.672350000000002</v>
      </c>
      <c r="Q40" s="38">
        <f>VLOOKUP($A40,'Yaş Boya Listesi'!$B$6:$L$131,11,FALSE())</f>
        <v>2</v>
      </c>
      <c r="R40" s="37">
        <f>IF(E40="Kataforez",N(Q40),IF(E40="Yaş boya",Parametreler!$B$10/MAX(1,ROUND(IF(ISNUMBER(Q40),Q40,Parametreler!$B$11),0)),0))</f>
        <v>40</v>
      </c>
      <c r="S40" s="36">
        <f>L40+P40+R40</f>
        <v>80.086762719999996</v>
      </c>
      <c r="T40" s="39">
        <f>IF(S40=0,0,L40/S40)</f>
        <v>0.27987662328624091</v>
      </c>
      <c r="U40" s="39">
        <f>IF(S40=0,0,P40/S40)</f>
        <v>0.22066505624389163</v>
      </c>
      <c r="V40" s="39">
        <f>IF(S40=0,0,R40/S40)</f>
        <v>0.49945832046986754</v>
      </c>
      <c r="W40" s="40">
        <f>SUM(AE40:AG40)/100*F40</f>
        <v>16.788732500000002</v>
      </c>
      <c r="X40" s="37">
        <f>IF($G40=0,0,J40/$G40)</f>
        <v>0.83617148101171379</v>
      </c>
      <c r="Y40" s="37">
        <f>IF($G40=0,0,S40/$G40)</f>
        <v>2.9876431664552707</v>
      </c>
      <c r="Z40" s="41">
        <f>IF($G40=0,0,L40/$G40)</f>
        <v>0.83617148101171379</v>
      </c>
      <c r="AA40" s="36">
        <f>S40*Parametreler!$B$12</f>
        <v>114.52407068959999</v>
      </c>
      <c r="AB40" s="42">
        <f>AA40*F40</f>
        <v>2175.9573431024</v>
      </c>
      <c r="AC40" s="43"/>
      <c r="AD40" s="30"/>
      <c r="AE40" s="44">
        <f>INDEX('İşçilik Özet'!$W$6:$W$200,MATCH($A40&amp;"",'İşçilik Özet'!$A$6:$A$200,0))</f>
        <v>10.723750000000001</v>
      </c>
      <c r="AF40" s="44">
        <f>INDEX('İşçilik Özet'!$X$6:$X$200,MATCH($A40&amp;"",'İşçilik Özet'!$A$6:$A$200,0))</f>
        <v>20</v>
      </c>
      <c r="AG40" s="44">
        <f>INDEX('İşçilik Özet'!$Y$6:$Y$200,MATCH($A40&amp;"",'İşçilik Özet'!$A$6:$A$200,0))</f>
        <v>57.637999999999998</v>
      </c>
      <c r="AH40" s="45">
        <f>(L40+P40)*F40+IF(E40="Kataforez",N(Q40)*F40,IF(E40="Yaş boya",ROUNDUP(F40/MAX(1,ROUND(IF(ISNUMBER(Q40),Q40,Parametreler!$B$11),0)),0)*Parametreler!$B$10,0))</f>
        <v>1561.64849168</v>
      </c>
    </row>
    <row r="41" spans="1:34" ht="15" customHeight="1" x14ac:dyDescent="0.25">
      <c r="A41" s="30" t="s">
        <v>179</v>
      </c>
      <c r="B41" s="30" t="s">
        <v>180</v>
      </c>
      <c r="C41" s="30" t="s">
        <v>93</v>
      </c>
      <c r="D41" s="30" t="s">
        <v>85</v>
      </c>
      <c r="E41" s="30" t="s">
        <v>94</v>
      </c>
      <c r="F41" s="31">
        <v>10</v>
      </c>
      <c r="G41" s="32">
        <v>57.371000000000002</v>
      </c>
      <c r="H41" s="33">
        <f>INDEX('Sac Özet'!$L$5:$L$199,MATCH($A41&amp;"",'Sac Özet'!$A$5:$A$199,0))</f>
        <v>113.25684447500001</v>
      </c>
      <c r="I41" s="33">
        <f>INDEX('Sac Özet'!$M$5:$M$199,MATCH($A41&amp;"",'Sac Özet'!$A$5:$A$199,0))</f>
        <v>55.905670775000004</v>
      </c>
      <c r="J41" s="34">
        <f>INDEX('Sac Özet'!$N$5:$N$199,MATCH($A41&amp;"",'Sac Özet'!$A$5:$A$199,0))</f>
        <v>72.30907423545456</v>
      </c>
      <c r="K41" s="35">
        <f>SUMPRODUCT((--'Satınalma Parçaları'!$A$2:$A$107=--$A41)*'Satınalma Parçaları'!$L$2:$L$107)</f>
        <v>9.1999999999999998E-2</v>
      </c>
      <c r="L41" s="36">
        <f>J41+N(K41)</f>
        <v>72.401074235454558</v>
      </c>
      <c r="M41" s="37">
        <f>AE41/100*Parametreler!$B$7</f>
        <v>10.878999999999998</v>
      </c>
      <c r="N41" s="37">
        <f>AF41/100*Parametreler!$B$8</f>
        <v>9.25</v>
      </c>
      <c r="O41" s="37">
        <f>AG41/100*Parametreler!$B$9</f>
        <v>14.9268</v>
      </c>
      <c r="P41" s="36">
        <f>SUM(M41:O41)</f>
        <v>35.055799999999998</v>
      </c>
      <c r="Q41" s="38">
        <f>IFERROR(INDEX('Kataforez Teklifleri'!$G$6:$G$50,MATCH($A41&amp;"",'Kataforez Teklifleri'!$A$6:$A$50,0)),"")</f>
        <v>45.76</v>
      </c>
      <c r="R41" s="37">
        <f>IF(E41="Kataforez",N(Q41),IF(E41="Yaş boya",Parametreler!$B$10/MAX(1,ROUND(IF(ISNUMBER(Q41),Q41,Parametreler!$B$11),0)),0))</f>
        <v>45.76</v>
      </c>
      <c r="S41" s="36">
        <f>L41+P41+R41</f>
        <v>153.21687423545455</v>
      </c>
      <c r="T41" s="39">
        <f>IF(S41=0,0,L41/S41)</f>
        <v>0.47253982041294557</v>
      </c>
      <c r="U41" s="39">
        <f>IF(S41=0,0,P41/S41)</f>
        <v>0.2287985587418285</v>
      </c>
      <c r="V41" s="39">
        <f>IF(S41=0,0,R41/S41)</f>
        <v>0.29866162084522596</v>
      </c>
      <c r="W41" s="40">
        <f>SUM(AE41:AG41)/100*F41</f>
        <v>17.527900000000002</v>
      </c>
      <c r="X41" s="37">
        <f>IF($G41=0,0,J41/$G41)</f>
        <v>1.2603767449661774</v>
      </c>
      <c r="Y41" s="37">
        <f>IF($G41=0,0,S41/$G41)</f>
        <v>2.6706327976757342</v>
      </c>
      <c r="Z41" s="41">
        <f>IF($G41=0,0,L41/$G41)</f>
        <v>1.2619803426026137</v>
      </c>
      <c r="AA41" s="36">
        <f>S41*Parametreler!$B$12</f>
        <v>219.1001301567</v>
      </c>
      <c r="AB41" s="42">
        <f>AA41*F41</f>
        <v>2191.0013015670002</v>
      </c>
      <c r="AC41" s="43" t="s">
        <v>181</v>
      </c>
      <c r="AD41" s="30" t="s">
        <v>182</v>
      </c>
      <c r="AE41" s="44">
        <f>INDEX('İşçilik Özet'!$W$6:$W$200,MATCH($A41&amp;"",'İşçilik Özet'!$A$6:$A$200,0))</f>
        <v>54.394999999999996</v>
      </c>
      <c r="AF41" s="44">
        <f>INDEX('İşçilik Özet'!$X$6:$X$200,MATCH($A41&amp;"",'İşçilik Özet'!$A$6:$A$200,0))</f>
        <v>46.25</v>
      </c>
      <c r="AG41" s="44">
        <f>INDEX('İşçilik Özet'!$Y$6:$Y$200,MATCH($A41&amp;"",'İşçilik Özet'!$A$6:$A$200,0))</f>
        <v>74.634</v>
      </c>
      <c r="AH41" s="45">
        <f>(L41+P41)*F41+IF(E41="Kataforez",N(Q41)*F41,IF(E41="Yaş boya",ROUNDUP(F41/MAX(1,ROUND(IF(ISNUMBER(Q41),Q41,Parametreler!$B$11),0)),0)*Parametreler!$B$10,0))</f>
        <v>1532.1687423545454</v>
      </c>
    </row>
    <row r="42" spans="1:34" ht="15" customHeight="1" x14ac:dyDescent="0.25">
      <c r="A42" s="30">
        <v>121806</v>
      </c>
      <c r="B42" s="30" t="s">
        <v>129</v>
      </c>
      <c r="C42" s="30" t="s">
        <v>130</v>
      </c>
      <c r="D42" s="30" t="s">
        <v>23</v>
      </c>
      <c r="E42" s="30" t="s">
        <v>124</v>
      </c>
      <c r="F42" s="31">
        <v>53</v>
      </c>
      <c r="G42" s="32">
        <v>2.93</v>
      </c>
      <c r="H42" s="33">
        <f>INDEX('Sac Özet'!$L$5:$L$199,MATCH($A42&amp;"",'Sac Özet'!$A$5:$A$199,0))</f>
        <v>1.2926843902439022</v>
      </c>
      <c r="I42" s="33">
        <f>INDEX('Sac Özet'!$M$5:$M$199,MATCH($A42&amp;"",'Sac Özet'!$A$5:$A$199,0))</f>
        <v>0.2326831902439023</v>
      </c>
      <c r="J42" s="34">
        <f>INDEX('Sac Özet'!$N$5:$N$199,MATCH($A42&amp;"",'Sac Özet'!$A$5:$A$199,0))</f>
        <v>0.95799664993348133</v>
      </c>
      <c r="K42" s="35">
        <f>SUMPRODUCT((--'Satınalma Parçaları'!$A$2:$A$107=--$A42)*'Satınalma Parçaları'!$L$2:$L$107)</f>
        <v>6.83</v>
      </c>
      <c r="L42" s="36">
        <f>J42+N(K42)</f>
        <v>7.787996649933481</v>
      </c>
      <c r="M42" s="37">
        <f>AE42/100*Parametreler!$B$7</f>
        <v>8.2569999999999979</v>
      </c>
      <c r="N42" s="37">
        <f>AF42/100*Parametreler!$B$8</f>
        <v>6.0824999999999996</v>
      </c>
      <c r="O42" s="37">
        <f>AG42/100*Parametreler!$B$9</f>
        <v>3.5100000000000002</v>
      </c>
      <c r="P42" s="36">
        <f>SUM(M42:O42)</f>
        <v>17.849499999999999</v>
      </c>
      <c r="Q42" s="47"/>
      <c r="R42" s="37">
        <f>IF(E42="Kataforez",N(Q42),IF(E42="Yaş boya",Parametreler!$B$10/MAX(1,ROUND(IF(ISNUMBER(Q42),Q42,Parametreler!$B$11),0)),0))</f>
        <v>0</v>
      </c>
      <c r="S42" s="36">
        <f>L42+P42+R42</f>
        <v>25.637496649933482</v>
      </c>
      <c r="T42" s="39">
        <f>IF(S42=0,0,L42/S42)</f>
        <v>0.30377367791693843</v>
      </c>
      <c r="U42" s="39">
        <f>IF(S42=0,0,P42/S42)</f>
        <v>0.69622632208306157</v>
      </c>
      <c r="V42" s="39">
        <f>IF(S42=0,0,R42/S42)</f>
        <v>0</v>
      </c>
      <c r="W42" s="40">
        <f>SUM(AE42:AG42)/100*F42</f>
        <v>47.301174999999994</v>
      </c>
      <c r="X42" s="37">
        <f>IF($G42=0,0,J42/$G42)</f>
        <v>0.3269613139704714</v>
      </c>
      <c r="Y42" s="37">
        <f>IF($G42=0,0,S42/$G42)</f>
        <v>8.7499988566325868</v>
      </c>
      <c r="Z42" s="41">
        <f>IF($G42=0,0,L42/$G42)</f>
        <v>2.6580193344482868</v>
      </c>
      <c r="AA42" s="36">
        <f>S42*Parametreler!$B$12</f>
        <v>36.66162020940488</v>
      </c>
      <c r="AB42" s="42">
        <f>AA42*F42</f>
        <v>1943.0658710984587</v>
      </c>
      <c r="AC42" s="43" t="s">
        <v>131</v>
      </c>
      <c r="AD42" s="30" t="s">
        <v>132</v>
      </c>
      <c r="AE42" s="44">
        <f>INDEX('İşçilik Özet'!$W$6:$W$200,MATCH($A42&amp;"",'İşçilik Özet'!$A$6:$A$200,0))</f>
        <v>41.284999999999989</v>
      </c>
      <c r="AF42" s="44">
        <f>INDEX('İşçilik Özet'!$X$6:$X$200,MATCH($A42&amp;"",'İşçilik Özet'!$A$6:$A$200,0))</f>
        <v>30.412499999999998</v>
      </c>
      <c r="AG42" s="44">
        <f>INDEX('İşçilik Özet'!$Y$6:$Y$200,MATCH($A42&amp;"",'İşçilik Özet'!$A$6:$A$200,0))</f>
        <v>17.55</v>
      </c>
      <c r="AH42" s="45">
        <f>(L42+P42)*F42+IF(E42="Kataforez",N(Q42)*F42,IF(E42="Yaş boya",ROUNDUP(F42/MAX(1,ROUND(IF(ISNUMBER(Q42),Q42,Parametreler!$B$11),0)),0)*Parametreler!$B$10,0))</f>
        <v>1358.7873224464745</v>
      </c>
    </row>
    <row r="43" spans="1:34" ht="15" customHeight="1" x14ac:dyDescent="0.25">
      <c r="A43" s="30">
        <v>105666</v>
      </c>
      <c r="B43" s="30" t="s">
        <v>186</v>
      </c>
      <c r="C43" s="30" t="s">
        <v>156</v>
      </c>
      <c r="D43" s="30" t="s">
        <v>85</v>
      </c>
      <c r="E43" s="30" t="s">
        <v>86</v>
      </c>
      <c r="F43" s="31">
        <v>27</v>
      </c>
      <c r="G43" s="32">
        <v>10.164999999999999</v>
      </c>
      <c r="H43" s="33">
        <f>INDEX('Sac Özet'!$L$5:$L$199,MATCH($A43&amp;"",'Sac Özet'!$A$5:$A$199,0))</f>
        <v>25.835306444</v>
      </c>
      <c r="I43" s="33">
        <f>INDEX('Sac Özet'!$M$5:$M$199,MATCH($A43&amp;"",'Sac Özet'!$A$5:$A$199,0))</f>
        <v>15.666918843999998</v>
      </c>
      <c r="J43" s="34">
        <f>INDEX('Sac Özet'!$N$5:$N$199,MATCH($A43&amp;"",'Sac Özet'!$A$5:$A$199,0))</f>
        <v>15.540889897163636</v>
      </c>
      <c r="K43" s="35">
        <f>SUMPRODUCT((--'Satınalma Parçaları'!$A$2:$A$107=--$A43)*'Satınalma Parçaları'!$L$2:$L$107)</f>
        <v>0</v>
      </c>
      <c r="L43" s="36">
        <f>J43+N(K43)</f>
        <v>15.540889897163636</v>
      </c>
      <c r="M43" s="37">
        <f>AE43/100*Parametreler!$B$7</f>
        <v>2.1447500000000002</v>
      </c>
      <c r="N43" s="37">
        <f>AF43/100*Parametreler!$B$8</f>
        <v>3.0824999999999996</v>
      </c>
      <c r="O43" s="37">
        <f>AG43/100*Parametreler!$B$9</f>
        <v>2.3199999999999998</v>
      </c>
      <c r="P43" s="36">
        <f>SUM(M43:O43)</f>
        <v>7.54725</v>
      </c>
      <c r="Q43" s="38">
        <f>VLOOKUP($A43,'Yaş Boya Listesi'!$B$6:$L$131,11,FALSE())</f>
        <v>3</v>
      </c>
      <c r="R43" s="37">
        <f>IF(E43="Kataforez",N(Q43),IF(E43="Yaş boya",Parametreler!$B$10/MAX(1,ROUND(IF(ISNUMBER(Q43),Q43,Parametreler!$B$11),0)),0))</f>
        <v>26.666666666666668</v>
      </c>
      <c r="S43" s="36">
        <f>L43+P43+R43</f>
        <v>49.7548065638303</v>
      </c>
      <c r="T43" s="39">
        <f>IF(S43=0,0,L43/S43)</f>
        <v>0.31234951898016672</v>
      </c>
      <c r="U43" s="39">
        <f>IF(S43=0,0,P43/S43)</f>
        <v>0.15168886226736011</v>
      </c>
      <c r="V43" s="39">
        <f>IF(S43=0,0,R43/S43)</f>
        <v>0.53596161875247328</v>
      </c>
      <c r="W43" s="40">
        <f>SUM(AE43:AG43)/100*F43</f>
        <v>10.1887875</v>
      </c>
      <c r="X43" s="37">
        <f>IF($G43=0,0,J43/$G43)</f>
        <v>1.5288627542708939</v>
      </c>
      <c r="Y43" s="37">
        <f>IF($G43=0,0,S43/$G43)</f>
        <v>4.8947178124771575</v>
      </c>
      <c r="Z43" s="41">
        <f>IF($G43=0,0,L43/$G43)</f>
        <v>1.5288627542708939</v>
      </c>
      <c r="AA43" s="36">
        <f>S43*Parametreler!$B$12</f>
        <v>71.149373386277333</v>
      </c>
      <c r="AB43" s="42">
        <f>AA43*F43</f>
        <v>1921.033081429488</v>
      </c>
      <c r="AC43" s="43"/>
      <c r="AD43" s="30"/>
      <c r="AE43" s="44">
        <f>INDEX('İşçilik Özet'!$W$6:$W$200,MATCH($A43&amp;"",'İşçilik Özet'!$A$6:$A$200,0))</f>
        <v>10.723750000000001</v>
      </c>
      <c r="AF43" s="44">
        <f>INDEX('İşçilik Özet'!$X$6:$X$200,MATCH($A43&amp;"",'İşçilik Özet'!$A$6:$A$200,0))</f>
        <v>15.4125</v>
      </c>
      <c r="AG43" s="44">
        <f>INDEX('İşçilik Özet'!$Y$6:$Y$200,MATCH($A43&amp;"",'İşçilik Özet'!$A$6:$A$200,0))</f>
        <v>11.6</v>
      </c>
      <c r="AH43" s="45">
        <f>(L43+P43)*F43+IF(E43="Kataforez",N(Q43)*F43,IF(E43="Yaş boya",ROUNDUP(F43/MAX(1,ROUND(IF(ISNUMBER(Q43),Q43,Parametreler!$B$11),0)),0)*Parametreler!$B$10,0))</f>
        <v>1343.3797772234182</v>
      </c>
    </row>
    <row r="44" spans="1:34" ht="15" customHeight="1" x14ac:dyDescent="0.25">
      <c r="A44" s="30">
        <v>106223</v>
      </c>
      <c r="B44" s="30" t="s">
        <v>155</v>
      </c>
      <c r="C44" s="30" t="s">
        <v>156</v>
      </c>
      <c r="D44" s="30" t="s">
        <v>23</v>
      </c>
      <c r="E44" s="30" t="s">
        <v>86</v>
      </c>
      <c r="F44" s="31">
        <v>106</v>
      </c>
      <c r="G44" s="32">
        <v>1.7629999999999999</v>
      </c>
      <c r="H44" s="33">
        <f>INDEX('Sac Özet'!$L$5:$L$199,MATCH($A44&amp;"",'Sac Özet'!$A$5:$A$199,0))</f>
        <v>2.1500575609756098</v>
      </c>
      <c r="I44" s="33">
        <f>INDEX('Sac Özet'!$M$5:$M$199,MATCH($A44&amp;"",'Sac Özet'!$A$5:$A$199,0))</f>
        <v>0.38701036097560954</v>
      </c>
      <c r="J44" s="34">
        <f>INDEX('Sac Özet'!$N$5:$N$199,MATCH($A44&amp;"",'Sac Özet'!$A$5:$A$199,0))</f>
        <v>1.5933881124611973</v>
      </c>
      <c r="K44" s="35">
        <f>SUMPRODUCT((--'Satınalma Parçaları'!$A$2:$A$107=--$A44)*'Satınalma Parçaları'!$L$2:$L$107)</f>
        <v>0</v>
      </c>
      <c r="L44" s="36">
        <f>J44+N(K44)</f>
        <v>1.5933881124611973</v>
      </c>
      <c r="M44" s="37">
        <f>AE44/100*Parametreler!$B$7</f>
        <v>0</v>
      </c>
      <c r="N44" s="37">
        <f>AF44/100*Parametreler!$B$8</f>
        <v>2.5824999999999996</v>
      </c>
      <c r="O44" s="37">
        <f>AG44/100*Parametreler!$B$9</f>
        <v>2.04</v>
      </c>
      <c r="P44" s="36">
        <f>SUM(M44:O44)</f>
        <v>4.6224999999999996</v>
      </c>
      <c r="Q44" s="38">
        <f>VLOOKUP($A44,'Yaş Boya Listesi'!$B$6:$L$131,11,FALSE())</f>
        <v>15</v>
      </c>
      <c r="R44" s="37">
        <f>IF(E44="Kataforez",N(Q44),IF(E44="Yaş boya",Parametreler!$B$10/MAX(1,ROUND(IF(ISNUMBER(Q44),Q44,Parametreler!$B$11),0)),0))</f>
        <v>5.333333333333333</v>
      </c>
      <c r="S44" s="36">
        <f>L44+P44+R44</f>
        <v>11.549221445794529</v>
      </c>
      <c r="T44" s="39">
        <f>IF(S44=0,0,L44/S44)</f>
        <v>0.1379649805780982</v>
      </c>
      <c r="U44" s="39">
        <f>IF(S44=0,0,P44/S44)</f>
        <v>0.40024342954158276</v>
      </c>
      <c r="V44" s="39">
        <f>IF(S44=0,0,R44/S44)</f>
        <v>0.4617915898803191</v>
      </c>
      <c r="W44" s="40">
        <f>SUM(AE44:AG44)/100*F44</f>
        <v>24.499249999999996</v>
      </c>
      <c r="X44" s="37">
        <f>IF($G44=0,0,J44/$G44)</f>
        <v>0.90379359753896615</v>
      </c>
      <c r="Y44" s="37">
        <f>IF($G44=0,0,S44/$G44)</f>
        <v>6.5508913475862336</v>
      </c>
      <c r="Z44" s="41">
        <f>IF($G44=0,0,L44/$G44)</f>
        <v>0.90379359753896615</v>
      </c>
      <c r="AA44" s="36">
        <f>S44*Parametreler!$B$12</f>
        <v>16.515386667486176</v>
      </c>
      <c r="AB44" s="42">
        <f>AA44*F44</f>
        <v>1750.6309867535347</v>
      </c>
      <c r="AC44" s="43"/>
      <c r="AD44" s="30" t="s">
        <v>91</v>
      </c>
      <c r="AE44" s="44">
        <f>INDEX('İşçilik Özet'!$W$6:$W$200,MATCH($A44&amp;"",'İşçilik Özet'!$A$6:$A$200,0))</f>
        <v>0</v>
      </c>
      <c r="AF44" s="44">
        <f>INDEX('İşçilik Özet'!$X$6:$X$200,MATCH($A44&amp;"",'İşçilik Özet'!$A$6:$A$200,0))</f>
        <v>12.9125</v>
      </c>
      <c r="AG44" s="44">
        <f>INDEX('İşçilik Özet'!$Y$6:$Y$200,MATCH($A44&amp;"",'İşçilik Özet'!$A$6:$A$200,0))</f>
        <v>10.199999999999999</v>
      </c>
      <c r="AH44" s="45">
        <f>(L44+P44)*F44+IF(E44="Kataforez",N(Q44)*F44,IF(E44="Yaş boya",ROUNDUP(F44/MAX(1,ROUND(IF(ISNUMBER(Q44),Q44,Parametreler!$B$11),0)),0)*Parametreler!$B$10,0))</f>
        <v>1298.8841399208868</v>
      </c>
    </row>
    <row r="45" spans="1:34" ht="15" customHeight="1" x14ac:dyDescent="0.25">
      <c r="A45" s="240">
        <v>403043</v>
      </c>
      <c r="B45" s="240" t="s">
        <v>123</v>
      </c>
      <c r="C45" s="30" t="s">
        <v>119</v>
      </c>
      <c r="D45" s="30" t="s">
        <v>23</v>
      </c>
      <c r="E45" s="30" t="s">
        <v>124</v>
      </c>
      <c r="F45" s="31">
        <v>312</v>
      </c>
      <c r="G45" s="32">
        <v>3.6819999999999999</v>
      </c>
      <c r="H45" s="33">
        <f>INDEX('Sac Özet'!$L$5:$L$199,MATCH($A45&amp;"",'Sac Özet'!$A$5:$A$199,0))</f>
        <v>0.59028170731707297</v>
      </c>
      <c r="I45" s="33">
        <f>INDEX('Sac Özet'!$M$5:$M$199,MATCH($A45&amp;"",'Sac Özet'!$A$5:$A$199,0))</f>
        <v>0.10625070731707308</v>
      </c>
      <c r="J45" s="34">
        <f>INDEX('Sac Özet'!$N$5:$N$199,MATCH($A45&amp;"",'Sac Özet'!$A$5:$A$199,0))</f>
        <v>0.43745240709534366</v>
      </c>
      <c r="K45" s="35">
        <f>SUMPRODUCT((--'Satınalma Parçaları'!$A$2:$A$107=--$A45)*'Satınalma Parçaları'!$L$2:$L$107)</f>
        <v>0</v>
      </c>
      <c r="L45" s="36">
        <f>J45+N(K45)</f>
        <v>0.43745240709534366</v>
      </c>
      <c r="M45" s="37">
        <f>AE45/100*Parametreler!$B$7</f>
        <v>0</v>
      </c>
      <c r="N45" s="37">
        <f>AF45/100*Parametreler!$B$8</f>
        <v>2.3325</v>
      </c>
      <c r="O45" s="37">
        <f>AG45/100*Parametreler!$B$9</f>
        <v>1.052</v>
      </c>
      <c r="P45" s="36">
        <f>SUM(M45:O45)</f>
        <v>3.3845000000000001</v>
      </c>
      <c r="Q45" s="47"/>
      <c r="R45" s="37">
        <f>IF(E45="Kataforez",N(Q45),IF(E45="Yaş boya",Parametreler!$B$10/MAX(1,ROUND(IF(ISNUMBER(Q45),Q45,Parametreler!$B$11),0)),0))</f>
        <v>0</v>
      </c>
      <c r="S45" s="36">
        <f>L45+P45+R45</f>
        <v>3.8219524070953437</v>
      </c>
      <c r="T45" s="39">
        <f>IF(S45=0,0,L45/S45)</f>
        <v>0.11445783738259691</v>
      </c>
      <c r="U45" s="39">
        <f>IF(S45=0,0,P45/S45)</f>
        <v>0.88554216261740315</v>
      </c>
      <c r="V45" s="39">
        <f>IF(S45=0,0,R45/S45)</f>
        <v>0</v>
      </c>
      <c r="W45" s="40">
        <f>SUM(AE45:AG45)/100*F45</f>
        <v>52.798199999999994</v>
      </c>
      <c r="X45" s="37">
        <f>IF($G45=0,0,J45/$G45)</f>
        <v>0.11880836694604663</v>
      </c>
      <c r="Y45" s="37">
        <f>IF($G45=0,0,S45/$G45)</f>
        <v>1.0380098878585942</v>
      </c>
      <c r="Z45" s="41">
        <f>IF($G45=0,0,L45/$G45)</f>
        <v>0.11880836694604663</v>
      </c>
      <c r="AA45" s="36">
        <f>S45*Parametreler!$B$12</f>
        <v>5.4653919421463408</v>
      </c>
      <c r="AB45" s="42">
        <f>AA45*F45</f>
        <v>1705.2022859496583</v>
      </c>
      <c r="AC45" s="43" t="s">
        <v>125</v>
      </c>
      <c r="AD45" s="30" t="s">
        <v>2365</v>
      </c>
      <c r="AE45" s="44">
        <f>INDEX('İşçilik Özet'!$W$6:$W$200,MATCH($A45&amp;"",'İşçilik Özet'!$A$6:$A$200,0))</f>
        <v>0</v>
      </c>
      <c r="AF45" s="44">
        <f>INDEX('İşçilik Özet'!$X$6:$X$200,MATCH($A45&amp;"",'İşçilik Özet'!$A$6:$A$200,0))</f>
        <v>11.6625</v>
      </c>
      <c r="AG45" s="44">
        <f>INDEX('İşçilik Özet'!$Y$6:$Y$200,MATCH($A45&amp;"",'İşçilik Özet'!$A$6:$A$200,0))</f>
        <v>5.26</v>
      </c>
      <c r="AH45" s="45">
        <f>(L45+P45)*F45+IF(E45="Kataforez",N(Q45)*F45,IF(E45="Yaş boya",ROUNDUP(F45/MAX(1,ROUND(IF(ISNUMBER(Q45),Q45,Parametreler!$B$11),0)),0)*Parametreler!$B$10,0))</f>
        <v>1192.4491510137473</v>
      </c>
    </row>
    <row r="46" spans="1:34" ht="15" customHeight="1" x14ac:dyDescent="0.25">
      <c r="A46" s="30">
        <v>450299</v>
      </c>
      <c r="B46" s="30" t="s">
        <v>185</v>
      </c>
      <c r="C46" s="30" t="s">
        <v>148</v>
      </c>
      <c r="D46" s="30" t="s">
        <v>85</v>
      </c>
      <c r="E46" s="30" t="s">
        <v>86</v>
      </c>
      <c r="F46" s="31">
        <v>27</v>
      </c>
      <c r="G46" s="32">
        <v>18.273</v>
      </c>
      <c r="H46" s="33">
        <f>INDEX('Sac Özet'!$L$5:$L$199,MATCH($A46&amp;"",'Sac Özet'!$A$5:$A$199,0))</f>
        <v>25.313876160000003</v>
      </c>
      <c r="I46" s="33">
        <f>INDEX('Sac Özet'!$M$5:$M$199,MATCH($A46&amp;"",'Sac Özet'!$A$5:$A$199,0))</f>
        <v>7.0274581599999992</v>
      </c>
      <c r="J46" s="34">
        <f>INDEX('Sac Özet'!$N$5:$N$199,MATCH($A46&amp;"",'Sac Özet'!$A$5:$A$199,0))</f>
        <v>17.95120553018182</v>
      </c>
      <c r="K46" s="35">
        <f>SUMPRODUCT((--'Satınalma Parçaları'!$A$2:$A$107=--$A46)*'Satınalma Parçaları'!$L$2:$L$107)</f>
        <v>0</v>
      </c>
      <c r="L46" s="36">
        <f>J46+N(K46)</f>
        <v>17.95120553018182</v>
      </c>
      <c r="M46" s="37">
        <f>AE46/100*Parametreler!$B$7</f>
        <v>2.3747500000000001</v>
      </c>
      <c r="N46" s="37">
        <f>AF46/100*Parametreler!$B$8</f>
        <v>3.0824999999999996</v>
      </c>
      <c r="O46" s="37">
        <f>AG46/100*Parametreler!$B$9</f>
        <v>2.3875999999999999</v>
      </c>
      <c r="P46" s="36">
        <f>SUM(M46:O46)</f>
        <v>7.8448500000000001</v>
      </c>
      <c r="Q46" s="38">
        <f>VLOOKUP($A46,'Yaş Boya Listesi'!$B$6:$L$131,11,FALSE())</f>
        <v>4</v>
      </c>
      <c r="R46" s="37">
        <f>IF(E46="Kataforez",N(Q46),IF(E46="Yaş boya",Parametreler!$B$10/MAX(1,ROUND(IF(ISNUMBER(Q46),Q46,Parametreler!$B$11),0)),0))</f>
        <v>20</v>
      </c>
      <c r="S46" s="36">
        <f>L46+P46+R46</f>
        <v>45.796055530181818</v>
      </c>
      <c r="T46" s="39">
        <f>IF(S46=0,0,L46/S46)</f>
        <v>0.39198147793211374</v>
      </c>
      <c r="U46" s="39">
        <f>IF(S46=0,0,P46/S46)</f>
        <v>0.1712996874770113</v>
      </c>
      <c r="V46" s="39">
        <f>IF(S46=0,0,R46/S46)</f>
        <v>0.43671883459087502</v>
      </c>
      <c r="W46" s="40">
        <f>SUM(AE46:AG46)/100*F46</f>
        <v>10.5905475</v>
      </c>
      <c r="X46" s="37">
        <f>IF($G46=0,0,J46/$G46)</f>
        <v>0.98238962021462384</v>
      </c>
      <c r="Y46" s="37">
        <f>IF($G46=0,0,S46/$G46)</f>
        <v>2.5062143889991693</v>
      </c>
      <c r="Z46" s="41">
        <f>IF($G46=0,0,L46/$G46)</f>
        <v>0.98238962021462384</v>
      </c>
      <c r="AA46" s="36">
        <f>S46*Parametreler!$B$12</f>
        <v>65.488359408159994</v>
      </c>
      <c r="AB46" s="42">
        <f>AA46*F46</f>
        <v>1768.1857040203199</v>
      </c>
      <c r="AC46" s="43"/>
      <c r="AD46" s="30"/>
      <c r="AE46" s="44">
        <f>INDEX('İşçilik Özet'!$W$6:$W$200,MATCH($A46&amp;"",'İşçilik Özet'!$A$6:$A$200,0))</f>
        <v>11.873750000000001</v>
      </c>
      <c r="AF46" s="44">
        <f>INDEX('İşçilik Özet'!$X$6:$X$200,MATCH($A46&amp;"",'İşçilik Özet'!$A$6:$A$200,0))</f>
        <v>15.4125</v>
      </c>
      <c r="AG46" s="44">
        <f>INDEX('İşçilik Özet'!$Y$6:$Y$200,MATCH($A46&amp;"",'İşçilik Özet'!$A$6:$A$200,0))</f>
        <v>11.937999999999999</v>
      </c>
      <c r="AH46" s="45">
        <f>(L46+P46)*F46+IF(E46="Kataforez",N(Q46)*F46,IF(E46="Yaş boya",ROUNDUP(F46/MAX(1,ROUND(IF(ISNUMBER(Q46),Q46,Parametreler!$B$11),0)),0)*Parametreler!$B$10,0))</f>
        <v>1256.4934993149091</v>
      </c>
    </row>
    <row r="47" spans="1:34" ht="15" customHeight="1" x14ac:dyDescent="0.25">
      <c r="A47" s="237">
        <v>114243</v>
      </c>
      <c r="B47" s="237" t="s">
        <v>172</v>
      </c>
      <c r="C47" s="30" t="s">
        <v>156</v>
      </c>
      <c r="D47" s="30" t="s">
        <v>23</v>
      </c>
      <c r="E47" s="30" t="s">
        <v>86</v>
      </c>
      <c r="F47" s="31">
        <v>29</v>
      </c>
      <c r="G47" s="32">
        <v>7.2670000000000003</v>
      </c>
      <c r="H47" s="33">
        <f>INDEX('Sac Özet'!$L$5:$L$199,MATCH($A47&amp;"",'Sac Özet'!$A$5:$A$199,0))</f>
        <v>5.2188697162199764</v>
      </c>
      <c r="I47" s="33">
        <f>INDEX('Sac Özet'!$M$5:$M$199,MATCH($A47&amp;"",'Sac Özet'!$A$5:$A$199,0))</f>
        <v>1.0758909162199757</v>
      </c>
      <c r="J47" s="34">
        <f>INDEX('Sac Özet'!$N$5:$N$199,MATCH($A47&amp;"",'Sac Özet'!$A$5:$A$199,0))</f>
        <v>3.8229860185767159</v>
      </c>
      <c r="K47" s="35">
        <f>SUMPRODUCT((--'Satınalma Parçaları'!$A$2:$A$107=--$A47)*'Satınalma Parçaları'!$L$2:$L$107)</f>
        <v>0</v>
      </c>
      <c r="L47" s="36">
        <f>J47+N(K47)</f>
        <v>3.8229860185767159</v>
      </c>
      <c r="M47" s="37">
        <f>AE47/100*Parametreler!$B$7</f>
        <v>3.9329999999999998</v>
      </c>
      <c r="N47" s="37">
        <f>AF47/100*Parametreler!$B$8</f>
        <v>3.5825</v>
      </c>
      <c r="O47" s="37">
        <f>AG47/100*Parametreler!$B$9</f>
        <v>2.6719999999999997</v>
      </c>
      <c r="P47" s="36">
        <f>SUM(M47:O47)</f>
        <v>10.1875</v>
      </c>
      <c r="Q47" s="38">
        <f>VLOOKUP($A47,'Yaş Boya Listesi'!$B$6:$L$131,11,FALSE())</f>
        <v>3</v>
      </c>
      <c r="R47" s="37">
        <f>IF(E47="Kataforez",N(Q47),IF(E47="Yaş boya",Parametreler!$B$10/MAX(1,ROUND(IF(ISNUMBER(Q47),Q47,Parametreler!$B$11),0)),0))</f>
        <v>26.666666666666668</v>
      </c>
      <c r="S47" s="36">
        <f>L47+P47+R47</f>
        <v>40.677152685243385</v>
      </c>
      <c r="T47" s="39">
        <f>IF(S47=0,0,L47/S47)</f>
        <v>9.3983618965631191E-2</v>
      </c>
      <c r="U47" s="39">
        <f>IF(S47=0,0,P47/S47)</f>
        <v>0.25044771640803071</v>
      </c>
      <c r="V47" s="39">
        <f>IF(S47=0,0,R47/S47)</f>
        <v>0.65556866462633812</v>
      </c>
      <c r="W47" s="40">
        <f>SUM(AE47:AG47)/100*F47</f>
        <v>14.771875000000001</v>
      </c>
      <c r="X47" s="37">
        <f>IF($G47=0,0,J47/$G47)</f>
        <v>0.52607486150773575</v>
      </c>
      <c r="Y47" s="37">
        <f>IF($G47=0,0,S47/$G47)</f>
        <v>5.5975165384950296</v>
      </c>
      <c r="Z47" s="41">
        <f>IF($G47=0,0,L47/$G47)</f>
        <v>0.52607486150773575</v>
      </c>
      <c r="AA47" s="36">
        <f>S47*Parametreler!$B$12</f>
        <v>58.168328339898039</v>
      </c>
      <c r="AB47" s="42">
        <f>AA47*F47</f>
        <v>1686.881521857043</v>
      </c>
      <c r="AC47" s="43" t="s">
        <v>173</v>
      </c>
      <c r="AD47" s="30" t="s">
        <v>2364</v>
      </c>
      <c r="AE47" s="44">
        <f>INDEX('İşçilik Özet'!$W$6:$W$200,MATCH($A47&amp;"",'İşçilik Özet'!$A$6:$A$200,0))</f>
        <v>19.664999999999999</v>
      </c>
      <c r="AF47" s="44">
        <f>INDEX('İşçilik Özet'!$X$6:$X$200,MATCH($A47&amp;"",'İşçilik Özet'!$A$6:$A$200,0))</f>
        <v>17.912500000000001</v>
      </c>
      <c r="AG47" s="44">
        <f>INDEX('İşçilik Özet'!$Y$6:$Y$200,MATCH($A47&amp;"",'İşçilik Özet'!$A$6:$A$200,0))</f>
        <v>13.36</v>
      </c>
      <c r="AH47" s="45">
        <f>(L47+P47)*F47+IF(E47="Kataforez",N(Q47)*F47,IF(E47="Yaş boya",ROUNDUP(F47/MAX(1,ROUND(IF(ISNUMBER(Q47),Q47,Parametreler!$B$11),0)),0)*Parametreler!$B$10,0))</f>
        <v>1206.3040945387247</v>
      </c>
    </row>
    <row r="48" spans="1:34" ht="15" customHeight="1" x14ac:dyDescent="0.25">
      <c r="A48" s="30">
        <v>106261</v>
      </c>
      <c r="B48" s="30" t="s">
        <v>188</v>
      </c>
      <c r="C48" s="30" t="s">
        <v>119</v>
      </c>
      <c r="D48" s="30" t="s">
        <v>23</v>
      </c>
      <c r="E48" s="30" t="s">
        <v>86</v>
      </c>
      <c r="F48" s="31">
        <v>55</v>
      </c>
      <c r="G48" s="32">
        <v>3.2480000000000002</v>
      </c>
      <c r="H48" s="33">
        <f>INDEX('Sac Özet'!$L$5:$L$199,MATCH($A48&amp;"",'Sac Özet'!$A$5:$A$199,0))</f>
        <v>4.0899347389409249</v>
      </c>
      <c r="I48" s="33">
        <f>INDEX('Sac Özet'!$M$5:$M$199,MATCH($A48&amp;"",'Sac Özet'!$A$5:$A$199,0))</f>
        <v>0.84191873894092517</v>
      </c>
      <c r="J48" s="34">
        <f>INDEX('Sac Özet'!$N$5:$N$199,MATCH($A48&amp;"",'Sac Özet'!$A$5:$A$199,0))</f>
        <v>2.9964107493175285</v>
      </c>
      <c r="K48" s="35">
        <f>SUMPRODUCT((--'Satınalma Parçaları'!$A$2:$A$107=--$A48)*'Satınalma Parçaları'!$L$2:$L$107)</f>
        <v>0</v>
      </c>
      <c r="L48" s="36">
        <f>J48+N(K48)</f>
        <v>2.9964107493175285</v>
      </c>
      <c r="M48" s="37">
        <f>AE48/100*Parametreler!$B$7</f>
        <v>1.3109999999999999</v>
      </c>
      <c r="N48" s="37">
        <f>AF48/100*Parametreler!$B$8</f>
        <v>1.5825</v>
      </c>
      <c r="O48" s="37">
        <f>AG48/100*Parametreler!$B$9</f>
        <v>0.62</v>
      </c>
      <c r="P48" s="36">
        <f>SUM(M48:O48)</f>
        <v>3.5135000000000001</v>
      </c>
      <c r="Q48" s="38">
        <f>VLOOKUP($A48,'Yaş Boya Listesi'!$B$6:$L$131,11,FALSE())</f>
        <v>6</v>
      </c>
      <c r="R48" s="37">
        <f>IF(E48="Kataforez",N(Q48),IF(E48="Yaş boya",Parametreler!$B$10/MAX(1,ROUND(IF(ISNUMBER(Q48),Q48,Parametreler!$B$11),0)),0))</f>
        <v>13.333333333333334</v>
      </c>
      <c r="S48" s="36">
        <f>L48+P48+R48</f>
        <v>19.843244082650862</v>
      </c>
      <c r="T48" s="39">
        <f>IF(S48=0,0,L48/S48)</f>
        <v>0.15100407659336906</v>
      </c>
      <c r="U48" s="39">
        <f>IF(S48=0,0,P48/S48)</f>
        <v>0.17706278194057426</v>
      </c>
      <c r="V48" s="39">
        <f>IF(S48=0,0,R48/S48)</f>
        <v>0.67193314146605665</v>
      </c>
      <c r="W48" s="40">
        <f>SUM(AE48:AG48)/100*F48</f>
        <v>9.6621249999999996</v>
      </c>
      <c r="X48" s="37">
        <f>IF($G48=0,0,J48/$G48)</f>
        <v>0.92254025533175132</v>
      </c>
      <c r="Y48" s="37">
        <f>IF($G48=0,0,S48/$G48)</f>
        <v>6.1093731781560532</v>
      </c>
      <c r="Z48" s="41">
        <f>IF($G48=0,0,L48/$G48)</f>
        <v>0.92254025533175132</v>
      </c>
      <c r="AA48" s="36">
        <f>S48*Parametreler!$B$12</f>
        <v>28.375839038190733</v>
      </c>
      <c r="AB48" s="42">
        <f>AA48*F48</f>
        <v>1560.6711471004903</v>
      </c>
      <c r="AC48" s="43"/>
      <c r="AD48" s="30" t="s">
        <v>91</v>
      </c>
      <c r="AE48" s="44">
        <f>INDEX('İşçilik Özet'!$W$6:$W$200,MATCH($A48&amp;"",'İşçilik Özet'!$A$6:$A$200,0))</f>
        <v>6.5549999999999997</v>
      </c>
      <c r="AF48" s="44">
        <f>INDEX('İşçilik Özet'!$X$6:$X$200,MATCH($A48&amp;"",'İşçilik Özet'!$A$6:$A$200,0))</f>
        <v>7.9124999999999996</v>
      </c>
      <c r="AG48" s="44">
        <f>INDEX('İşçilik Özet'!$Y$6:$Y$200,MATCH($A48&amp;"",'İşçilik Özet'!$A$6:$A$200,0))</f>
        <v>3.1</v>
      </c>
      <c r="AH48" s="45">
        <f>(L48+P48)*F48+IF(E48="Kataforez",N(Q48)*F48,IF(E48="Yaş boya",ROUNDUP(F48/MAX(1,ROUND(IF(ISNUMBER(Q48),Q48,Parametreler!$B$11),0)),0)*Parametreler!$B$10,0))</f>
        <v>1158.0450912124641</v>
      </c>
    </row>
    <row r="49" spans="1:34" ht="15" customHeight="1" x14ac:dyDescent="0.25">
      <c r="A49" s="237">
        <v>378776</v>
      </c>
      <c r="B49" s="237" t="s">
        <v>154</v>
      </c>
      <c r="C49" s="30" t="s">
        <v>119</v>
      </c>
      <c r="D49" s="30" t="s">
        <v>23</v>
      </c>
      <c r="E49" s="30" t="s">
        <v>86</v>
      </c>
      <c r="F49" s="31">
        <v>114</v>
      </c>
      <c r="G49" s="32">
        <v>1.3029999999999999</v>
      </c>
      <c r="H49" s="33">
        <f>INDEX('Sac Özet'!$L$5:$L$199,MATCH($A49&amp;"",'Sac Özet'!$A$5:$A$199,0))</f>
        <v>1.6237423123589598</v>
      </c>
      <c r="I49" s="33">
        <f>INDEX('Sac Özet'!$M$5:$M$199,MATCH($A49&amp;"",'Sac Özet'!$A$5:$A$199,0))</f>
        <v>0.32076006235895993</v>
      </c>
      <c r="J49" s="34">
        <f>INDEX('Sac Özet'!$N$5:$N$199,MATCH($A49&amp;"",'Sac Özet'!$A$5:$A$199,0))</f>
        <v>1.1940178294787809</v>
      </c>
      <c r="K49" s="35">
        <f>SUMPRODUCT((--'Satınalma Parçaları'!$A$2:$A$107=--$A49)*'Satınalma Parçaları'!$L$2:$L$107)</f>
        <v>0</v>
      </c>
      <c r="L49" s="36">
        <f>J49+N(K49)</f>
        <v>1.1940178294787809</v>
      </c>
      <c r="M49" s="37">
        <f>AE49/100*Parametreler!$B$7</f>
        <v>1.081</v>
      </c>
      <c r="N49" s="37">
        <f>AF49/100*Parametreler!$B$8</f>
        <v>2.0825</v>
      </c>
      <c r="O49" s="37">
        <f>AG49/100*Parametreler!$B$9</f>
        <v>1.1400000000000001</v>
      </c>
      <c r="P49" s="36">
        <f>SUM(M49:O49)</f>
        <v>4.3034999999999997</v>
      </c>
      <c r="Q49" s="38">
        <f>VLOOKUP($A49,'Yaş Boya Listesi'!$B$6:$L$131,11,FALSE())</f>
        <v>20</v>
      </c>
      <c r="R49" s="37">
        <f>IF(E49="Kataforez",N(Q49),IF(E49="Yaş boya",Parametreler!$B$10/MAX(1,ROUND(IF(ISNUMBER(Q49),Q49,Parametreler!$B$11),0)),0))</f>
        <v>4</v>
      </c>
      <c r="S49" s="36">
        <f>L49+P49+R49</f>
        <v>9.497517829478781</v>
      </c>
      <c r="T49" s="39">
        <f>IF(S49=0,0,L49/S49)</f>
        <v>0.12571893529620337</v>
      </c>
      <c r="U49" s="39">
        <f>IF(S49=0,0,P49/S49)</f>
        <v>0.45311839127509945</v>
      </c>
      <c r="V49" s="39">
        <f>IF(S49=0,0,R49/S49)</f>
        <v>0.42116267342869712</v>
      </c>
      <c r="W49" s="40">
        <f>SUM(AE49:AG49)/100*F49</f>
        <v>24.529949999999996</v>
      </c>
      <c r="X49" s="37">
        <f>IF($G49=0,0,J49/$G49)</f>
        <v>0.91636057519476666</v>
      </c>
      <c r="Y49" s="37">
        <f>IF($G49=0,0,S49/$G49)</f>
        <v>7.2889622636061251</v>
      </c>
      <c r="Z49" s="41">
        <f>IF($G49=0,0,L49/$G49)</f>
        <v>0.91636057519476666</v>
      </c>
      <c r="AA49" s="36">
        <f>S49*Parametreler!$B$12</f>
        <v>13.581450496154655</v>
      </c>
      <c r="AB49" s="42">
        <f>AA49*F49</f>
        <v>1548.2853565616308</v>
      </c>
      <c r="AC49" s="43"/>
      <c r="AD49" s="43" t="s">
        <v>2364</v>
      </c>
      <c r="AE49" s="44">
        <f>INDEX('İşçilik Özet'!$W$6:$W$200,MATCH($A49&amp;"",'İşçilik Özet'!$A$6:$A$200,0))</f>
        <v>5.4049999999999994</v>
      </c>
      <c r="AF49" s="44">
        <f>INDEX('İşçilik Özet'!$X$6:$X$200,MATCH($A49&amp;"",'İşçilik Özet'!$A$6:$A$200,0))</f>
        <v>10.4125</v>
      </c>
      <c r="AG49" s="44">
        <f>INDEX('İşçilik Özet'!$Y$6:$Y$200,MATCH($A49&amp;"",'İşçilik Özet'!$A$6:$A$200,0))</f>
        <v>5.7</v>
      </c>
      <c r="AH49" s="45">
        <f>(L49+P49)*F49+IF(E49="Kataforez",N(Q49)*F49,IF(E49="Yaş boya",ROUNDUP(F49/MAX(1,ROUND(IF(ISNUMBER(Q49),Q49,Parametreler!$B$11),0)),0)*Parametreler!$B$10,0))</f>
        <v>1106.7170325605812</v>
      </c>
    </row>
    <row r="50" spans="1:34" ht="15" customHeight="1" x14ac:dyDescent="0.25">
      <c r="A50" s="30">
        <v>233507</v>
      </c>
      <c r="B50" s="30" t="s">
        <v>150</v>
      </c>
      <c r="C50" s="30" t="s">
        <v>151</v>
      </c>
      <c r="D50" s="30" t="s">
        <v>23</v>
      </c>
      <c r="E50" s="30" t="s">
        <v>86</v>
      </c>
      <c r="F50" s="31">
        <v>121</v>
      </c>
      <c r="G50" s="32">
        <v>0.72099999999999997</v>
      </c>
      <c r="H50" s="33">
        <f>INDEX('Sac Özet'!$L$5:$L$199,MATCH($A50&amp;"",'Sac Özet'!$A$5:$A$199,0))</f>
        <v>0.87923829268292664</v>
      </c>
      <c r="I50" s="33">
        <f>INDEX('Sac Özet'!$M$5:$M$199,MATCH($A50&amp;"",'Sac Özet'!$A$5:$A$199,0))</f>
        <v>0.15826289268292676</v>
      </c>
      <c r="J50" s="34">
        <f>INDEX('Sac Özet'!$N$5:$N$199,MATCH($A50&amp;"",'Sac Özet'!$A$5:$A$199,0))</f>
        <v>0.65159550563192914</v>
      </c>
      <c r="K50" s="35">
        <f>SUMPRODUCT((--'Satınalma Parçaları'!$A$2:$A$107=--$A50)*'Satınalma Parçaları'!$L$2:$L$107)</f>
        <v>0</v>
      </c>
      <c r="L50" s="36">
        <f>J50+N(K50)</f>
        <v>0.65159550563192914</v>
      </c>
      <c r="M50" s="37">
        <f>AE50/100*Parametreler!$B$7</f>
        <v>0</v>
      </c>
      <c r="N50" s="37">
        <f>AF50/100*Parametreler!$B$8</f>
        <v>2.8325</v>
      </c>
      <c r="O50" s="37">
        <f>AG50/100*Parametreler!$B$9</f>
        <v>1.24</v>
      </c>
      <c r="P50" s="36">
        <f>SUM(M50:O50)</f>
        <v>4.0724999999999998</v>
      </c>
      <c r="Q50" s="38">
        <f>VLOOKUP($A50,'Yaş Boya Listesi'!$B$6:$L$131,11,FALSE())</f>
        <v>20</v>
      </c>
      <c r="R50" s="37">
        <f>IF(E50="Kataforez",N(Q50),IF(E50="Yaş boya",Parametreler!$B$10/MAX(1,ROUND(IF(ISNUMBER(Q50),Q50,Parametreler!$B$11),0)),0))</f>
        <v>4</v>
      </c>
      <c r="S50" s="36">
        <f>L50+P50+R50</f>
        <v>8.7240955056319294</v>
      </c>
      <c r="T50" s="39">
        <f>IF(S50=0,0,L50/S50)</f>
        <v>7.46891761112983E-2</v>
      </c>
      <c r="U50" s="39">
        <f>IF(S50=0,0,P50/S50)</f>
        <v>0.46681057049076957</v>
      </c>
      <c r="V50" s="39">
        <f>IF(S50=0,0,R50/S50)</f>
        <v>0.4585002533979321</v>
      </c>
      <c r="W50" s="40">
        <f>SUM(AE50:AG50)/100*F50</f>
        <v>24.638625000000001</v>
      </c>
      <c r="X50" s="37">
        <f>IF($G50=0,0,J50/$G50)</f>
        <v>0.90373856537022079</v>
      </c>
      <c r="Y50" s="37">
        <f>IF($G50=0,0,S50/$G50)</f>
        <v>12.099993766479791</v>
      </c>
      <c r="Z50" s="41">
        <f>IF($G50=0,0,L50/$G50)</f>
        <v>0.90373856537022079</v>
      </c>
      <c r="AA50" s="36">
        <f>S50*Parametreler!$B$12</f>
        <v>12.475456573053659</v>
      </c>
      <c r="AB50" s="42">
        <f>AA50*F50</f>
        <v>1509.5302453394927</v>
      </c>
      <c r="AC50" s="43"/>
      <c r="AD50" s="30" t="s">
        <v>91</v>
      </c>
      <c r="AE50" s="44">
        <f>INDEX('İşçilik Özet'!$W$6:$W$200,MATCH($A50&amp;"",'İşçilik Özet'!$A$6:$A$200,0))</f>
        <v>0</v>
      </c>
      <c r="AF50" s="44">
        <f>INDEX('İşçilik Özet'!$X$6:$X$200,MATCH($A50&amp;"",'İşçilik Özet'!$A$6:$A$200,0))</f>
        <v>14.1625</v>
      </c>
      <c r="AG50" s="44">
        <f>INDEX('İşçilik Özet'!$Y$6:$Y$200,MATCH($A50&amp;"",'İşçilik Özet'!$A$6:$A$200,0))</f>
        <v>6.2</v>
      </c>
      <c r="AH50" s="45">
        <f>(L50+P50)*F50+IF(E50="Kataforez",N(Q50)*F50,IF(E50="Yaş boya",ROUNDUP(F50/MAX(1,ROUND(IF(ISNUMBER(Q50),Q50,Parametreler!$B$11),0)),0)*Parametreler!$B$10,0))</f>
        <v>1131.6155561814635</v>
      </c>
    </row>
    <row r="51" spans="1:34" ht="15" customHeight="1" x14ac:dyDescent="0.25">
      <c r="A51" s="30">
        <v>122681</v>
      </c>
      <c r="B51" s="30" t="s">
        <v>152</v>
      </c>
      <c r="C51" s="30" t="s">
        <v>153</v>
      </c>
      <c r="D51" s="30" t="s">
        <v>23</v>
      </c>
      <c r="E51" s="30" t="s">
        <v>86</v>
      </c>
      <c r="F51" s="31">
        <v>121</v>
      </c>
      <c r="G51" s="32">
        <v>0.72099999999999997</v>
      </c>
      <c r="H51" s="33">
        <f>INDEX('Sac Özet'!$L$5:$L$199,MATCH($A51&amp;"",'Sac Özet'!$A$5:$A$199,0))</f>
        <v>0.87923829268292664</v>
      </c>
      <c r="I51" s="33">
        <f>INDEX('Sac Özet'!$M$5:$M$199,MATCH($A51&amp;"",'Sac Özet'!$A$5:$A$199,0))</f>
        <v>0.15826289268292676</v>
      </c>
      <c r="J51" s="34">
        <f>INDEX('Sac Özet'!$N$5:$N$199,MATCH($A51&amp;"",'Sac Özet'!$A$5:$A$199,0))</f>
        <v>0.65159550563192914</v>
      </c>
      <c r="K51" s="35">
        <f>SUMPRODUCT((--'Satınalma Parçaları'!$A$2:$A$107=--$A51)*'Satınalma Parçaları'!$L$2:$L$107)</f>
        <v>0</v>
      </c>
      <c r="L51" s="36">
        <f>J51+N(K51)</f>
        <v>0.65159550563192914</v>
      </c>
      <c r="M51" s="37">
        <f>AE51/100*Parametreler!$B$7</f>
        <v>0</v>
      </c>
      <c r="N51" s="37">
        <f>AF51/100*Parametreler!$B$8</f>
        <v>2.8325</v>
      </c>
      <c r="O51" s="37">
        <f>AG51/100*Parametreler!$B$9</f>
        <v>1.24</v>
      </c>
      <c r="P51" s="36">
        <f>SUM(M51:O51)</f>
        <v>4.0724999999999998</v>
      </c>
      <c r="Q51" s="38">
        <f>VLOOKUP($A51,'Yaş Boya Listesi'!$B$6:$L$131,11,FALSE())</f>
        <v>20</v>
      </c>
      <c r="R51" s="37">
        <f>IF(E51="Kataforez",N(Q51),IF(E51="Yaş boya",Parametreler!$B$10/MAX(1,ROUND(IF(ISNUMBER(Q51),Q51,Parametreler!$B$11),0)),0))</f>
        <v>4</v>
      </c>
      <c r="S51" s="36">
        <f>L51+P51+R51</f>
        <v>8.7240955056319294</v>
      </c>
      <c r="T51" s="39">
        <f>IF(S51=0,0,L51/S51)</f>
        <v>7.46891761112983E-2</v>
      </c>
      <c r="U51" s="39">
        <f>IF(S51=0,0,P51/S51)</f>
        <v>0.46681057049076957</v>
      </c>
      <c r="V51" s="39">
        <f>IF(S51=0,0,R51/S51)</f>
        <v>0.4585002533979321</v>
      </c>
      <c r="W51" s="40">
        <f>SUM(AE51:AG51)/100*F51</f>
        <v>24.638625000000001</v>
      </c>
      <c r="X51" s="37">
        <f>IF($G51=0,0,J51/$G51)</f>
        <v>0.90373856537022079</v>
      </c>
      <c r="Y51" s="37">
        <f>IF($G51=0,0,S51/$G51)</f>
        <v>12.099993766479791</v>
      </c>
      <c r="Z51" s="41">
        <f>IF($G51=0,0,L51/$G51)</f>
        <v>0.90373856537022079</v>
      </c>
      <c r="AA51" s="36">
        <f>S51*Parametreler!$B$12</f>
        <v>12.475456573053659</v>
      </c>
      <c r="AB51" s="42">
        <f>AA51*F51</f>
        <v>1509.5302453394927</v>
      </c>
      <c r="AC51" s="43"/>
      <c r="AD51" s="30" t="s">
        <v>91</v>
      </c>
      <c r="AE51" s="44">
        <f>INDEX('İşçilik Özet'!$W$6:$W$200,MATCH($A51&amp;"",'İşçilik Özet'!$A$6:$A$200,0))</f>
        <v>0</v>
      </c>
      <c r="AF51" s="44">
        <f>INDEX('İşçilik Özet'!$X$6:$X$200,MATCH($A51&amp;"",'İşçilik Özet'!$A$6:$A$200,0))</f>
        <v>14.1625</v>
      </c>
      <c r="AG51" s="44">
        <f>INDEX('İşçilik Özet'!$Y$6:$Y$200,MATCH($A51&amp;"",'İşçilik Özet'!$A$6:$A$200,0))</f>
        <v>6.2</v>
      </c>
      <c r="AH51" s="45">
        <f>(L51+P51)*F51+IF(E51="Kataforez",N(Q51)*F51,IF(E51="Yaş boya",ROUNDUP(F51/MAX(1,ROUND(IF(ISNUMBER(Q51),Q51,Parametreler!$B$11),0)),0)*Parametreler!$B$10,0))</f>
        <v>1131.6155561814635</v>
      </c>
    </row>
    <row r="52" spans="1:34" ht="15" customHeight="1" x14ac:dyDescent="0.25">
      <c r="A52" s="30">
        <v>543391</v>
      </c>
      <c r="B52" s="30" t="s">
        <v>176</v>
      </c>
      <c r="C52" s="30" t="s">
        <v>99</v>
      </c>
      <c r="D52" s="30" t="s">
        <v>23</v>
      </c>
      <c r="E52" s="30" t="s">
        <v>86</v>
      </c>
      <c r="F52" s="31">
        <v>61</v>
      </c>
      <c r="G52" s="32">
        <v>4.125</v>
      </c>
      <c r="H52" s="33">
        <f>INDEX('Sac Özet'!$L$5:$L$199,MATCH($A52&amp;"",'Sac Özet'!$A$5:$A$199,0))</f>
        <v>1.4865985365853658</v>
      </c>
      <c r="I52" s="33">
        <f>INDEX('Sac Özet'!$M$5:$M$199,MATCH($A52&amp;"",'Sac Özet'!$A$5:$A$199,0))</f>
        <v>0.26758773658536578</v>
      </c>
      <c r="J52" s="34">
        <f>INDEX('Sac Özet'!$N$5:$N$199,MATCH($A52&amp;"",'Sac Özet'!$A$5:$A$199,0))</f>
        <v>1.1017046609312637</v>
      </c>
      <c r="K52" s="35">
        <f>SUMPRODUCT((--'Satınalma Parçaları'!$A$2:$A$107=--$A52)*'Satınalma Parçaları'!$L$2:$L$107)</f>
        <v>3.66</v>
      </c>
      <c r="L52" s="36">
        <f>J52+N(K52)</f>
        <v>4.7617046609312634</v>
      </c>
      <c r="M52" s="37">
        <f>AE52/100*Parametreler!$B$7</f>
        <v>1.081</v>
      </c>
      <c r="N52" s="37">
        <f>AF52/100*Parametreler!$B$8</f>
        <v>2.0825</v>
      </c>
      <c r="O52" s="37">
        <f>AG52/100*Parametreler!$B$9</f>
        <v>0.96</v>
      </c>
      <c r="P52" s="36">
        <f>SUM(M52:O52)</f>
        <v>4.1234999999999999</v>
      </c>
      <c r="Q52" s="38">
        <f>VLOOKUP($A52,'Yaş Boya Listesi'!$B$6:$L$131,11,FALSE())</f>
        <v>10</v>
      </c>
      <c r="R52" s="37">
        <f>IF(E52="Kataforez",N(Q52),IF(E52="Yaş boya",Parametreler!$B$10/MAX(1,ROUND(IF(ISNUMBER(Q52),Q52,Parametreler!$B$11),0)),0))</f>
        <v>8</v>
      </c>
      <c r="S52" s="36">
        <f>L52+P52+R52</f>
        <v>16.885204660931265</v>
      </c>
      <c r="T52" s="39">
        <f>IF(S52=0,0,L52/S52)</f>
        <v>0.28200455703973931</v>
      </c>
      <c r="U52" s="39">
        <f>IF(S52=0,0,P52/S52)</f>
        <v>0.24420787800937307</v>
      </c>
      <c r="V52" s="39">
        <f>IF(S52=0,0,R52/S52)</f>
        <v>0.47378756495088747</v>
      </c>
      <c r="W52" s="40">
        <f>SUM(AE52:AG52)/100*F52</f>
        <v>12.576675</v>
      </c>
      <c r="X52" s="37">
        <f>IF($G52=0,0,J52/$G52)</f>
        <v>0.26707991780151846</v>
      </c>
      <c r="Y52" s="37">
        <f>IF($G52=0,0,S52/$G52)</f>
        <v>4.0933829481045487</v>
      </c>
      <c r="Z52" s="41">
        <f>IF($G52=0,0,L52/$G52)</f>
        <v>1.1543526450742456</v>
      </c>
      <c r="AA52" s="36">
        <f>S52*Parametreler!$B$12</f>
        <v>24.14584266513171</v>
      </c>
      <c r="AB52" s="42">
        <f>AA52*F52</f>
        <v>1472.8964025730343</v>
      </c>
      <c r="AC52" s="43" t="s">
        <v>177</v>
      </c>
      <c r="AD52" s="30" t="s">
        <v>96</v>
      </c>
      <c r="AE52" s="44">
        <f>INDEX('İşçilik Özet'!$W$6:$W$200,MATCH($A52&amp;"",'İşçilik Özet'!$A$6:$A$200,0))</f>
        <v>5.4049999999999994</v>
      </c>
      <c r="AF52" s="44">
        <f>INDEX('İşçilik Özet'!$X$6:$X$200,MATCH($A52&amp;"",'İşçilik Özet'!$A$6:$A$200,0))</f>
        <v>10.4125</v>
      </c>
      <c r="AG52" s="44">
        <f>INDEX('İşçilik Özet'!$Y$6:$Y$200,MATCH($A52&amp;"",'İşçilik Özet'!$A$6:$A$200,0))</f>
        <v>4.8</v>
      </c>
      <c r="AH52" s="45">
        <f>(L52+P52)*F52+IF(E52="Kataforez",N(Q52)*F52,IF(E52="Yaş boya",ROUNDUP(F52/MAX(1,ROUND(IF(ISNUMBER(Q52),Q52,Parametreler!$B$11),0)),0)*Parametreler!$B$10,0))</f>
        <v>1101.997484316807</v>
      </c>
    </row>
    <row r="53" spans="1:34" ht="15" customHeight="1" x14ac:dyDescent="0.25">
      <c r="A53" s="30">
        <v>103626</v>
      </c>
      <c r="B53" s="30" t="s">
        <v>166</v>
      </c>
      <c r="C53" s="30" t="s">
        <v>117</v>
      </c>
      <c r="D53" s="30" t="s">
        <v>23</v>
      </c>
      <c r="E53" s="30" t="s">
        <v>86</v>
      </c>
      <c r="F53" s="31">
        <v>58</v>
      </c>
      <c r="G53" s="32">
        <v>4.5620000000000003</v>
      </c>
      <c r="H53" s="33">
        <f>INDEX('Sac Özet'!$L$5:$L$199,MATCH($A53&amp;"",'Sac Özet'!$A$5:$A$199,0))</f>
        <v>5.7647464712974124</v>
      </c>
      <c r="I53" s="33">
        <f>INDEX('Sac Özet'!$M$5:$M$199,MATCH($A53&amp;"",'Sac Özet'!$A$5:$A$199,0))</f>
        <v>1.2028288712974122</v>
      </c>
      <c r="J53" s="34">
        <f>INDEX('Sac Özet'!$N$5:$N$199,MATCH($A53&amp;"",'Sac Özet'!$A$5:$A$199,0))</f>
        <v>4.2181440918860496</v>
      </c>
      <c r="K53" s="35">
        <f>SUMPRODUCT((--'Satınalma Parçaları'!$A$2:$A$107=--$A53)*'Satınalma Parçaları'!$L$2:$L$107)</f>
        <v>0</v>
      </c>
      <c r="L53" s="36">
        <f>J53+N(K53)</f>
        <v>4.2181440918860496</v>
      </c>
      <c r="M53" s="37">
        <f>AE53/100*Parametreler!$B$7</f>
        <v>1.081</v>
      </c>
      <c r="N53" s="37">
        <f>AF53/100*Parametreler!$B$8</f>
        <v>2.5824999999999996</v>
      </c>
      <c r="O53" s="37">
        <f>AG53/100*Parametreler!$B$9</f>
        <v>2.2880000000000003</v>
      </c>
      <c r="P53" s="36">
        <f>SUM(M53:O53)</f>
        <v>5.9514999999999993</v>
      </c>
      <c r="Q53" s="38">
        <f>VLOOKUP($A53,'Yaş Boya Listesi'!$B$6:$L$131,11,FALSE())</f>
        <v>10</v>
      </c>
      <c r="R53" s="37">
        <f>IF(E53="Kataforez",N(Q53),IF(E53="Yaş boya",Parametreler!$B$10/MAX(1,ROUND(IF(ISNUMBER(Q53),Q53,Parametreler!$B$11),0)),0))</f>
        <v>8</v>
      </c>
      <c r="S53" s="36">
        <f>L53+P53+R53</f>
        <v>18.169644091886049</v>
      </c>
      <c r="T53" s="39">
        <f>IF(S53=0,0,L53/S53)</f>
        <v>0.23215336913339599</v>
      </c>
      <c r="U53" s="39">
        <f>IF(S53=0,0,P53/S53)</f>
        <v>0.32755182049260606</v>
      </c>
      <c r="V53" s="39">
        <f>IF(S53=0,0,R53/S53)</f>
        <v>0.44029481037399792</v>
      </c>
      <c r="W53" s="40">
        <f>SUM(AE53:AG53)/100*F53</f>
        <v>17.259349999999998</v>
      </c>
      <c r="X53" s="37">
        <f>IF($G53=0,0,J53/$G53)</f>
        <v>0.92462606135161096</v>
      </c>
      <c r="Y53" s="37">
        <f>IF($G53=0,0,S53/$G53)</f>
        <v>3.9828242200539341</v>
      </c>
      <c r="Z53" s="41">
        <f>IF($G53=0,0,L53/$G53)</f>
        <v>0.92462606135161096</v>
      </c>
      <c r="AA53" s="36">
        <f>S53*Parametreler!$B$12</f>
        <v>25.982591051397048</v>
      </c>
      <c r="AB53" s="42">
        <f>AA53*F53</f>
        <v>1506.9902809810287</v>
      </c>
      <c r="AC53" s="43"/>
      <c r="AD53" s="30" t="s">
        <v>91</v>
      </c>
      <c r="AE53" s="44">
        <f>INDEX('İşçilik Özet'!$W$6:$W$200,MATCH($A53&amp;"",'İşçilik Özet'!$A$6:$A$200,0))</f>
        <v>5.4049999999999994</v>
      </c>
      <c r="AF53" s="44">
        <f>INDEX('İşçilik Özet'!$X$6:$X$200,MATCH($A53&amp;"",'İşçilik Özet'!$A$6:$A$200,0))</f>
        <v>12.9125</v>
      </c>
      <c r="AG53" s="44">
        <f>INDEX('İşçilik Özet'!$Y$6:$Y$200,MATCH($A53&amp;"",'İşçilik Özet'!$A$6:$A$200,0))</f>
        <v>11.440000000000001</v>
      </c>
      <c r="AH53" s="45">
        <f>(L53+P53)*F53+IF(E53="Kataforez",N(Q53)*F53,IF(E53="Yaş boya",ROUNDUP(F53/MAX(1,ROUND(IF(ISNUMBER(Q53),Q53,Parametreler!$B$11),0)),0)*Parametreler!$B$10,0))</f>
        <v>1069.8393573293909</v>
      </c>
    </row>
    <row r="54" spans="1:34" ht="15" customHeight="1" x14ac:dyDescent="0.25">
      <c r="A54" s="30">
        <v>394275</v>
      </c>
      <c r="B54" s="30" t="s">
        <v>157</v>
      </c>
      <c r="C54" s="30" t="s">
        <v>148</v>
      </c>
      <c r="D54" s="30" t="s">
        <v>23</v>
      </c>
      <c r="E54" s="30" t="s">
        <v>86</v>
      </c>
      <c r="F54" s="31">
        <v>112</v>
      </c>
      <c r="G54" s="32">
        <v>0.45300000000000001</v>
      </c>
      <c r="H54" s="33">
        <f>INDEX('Sac Özet'!$L$5:$L$199,MATCH($A54&amp;"",'Sac Özet'!$A$5:$A$199,0))</f>
        <v>0.56002889834307079</v>
      </c>
      <c r="I54" s="33">
        <f>INDEX('Sac Özet'!$M$5:$M$199,MATCH($A54&amp;"",'Sac Özet'!$A$5:$A$199,0))</f>
        <v>0.10701324834307083</v>
      </c>
      <c r="J54" s="34">
        <f>INDEX('Sac Özet'!$N$5:$N$199,MATCH($A54&amp;"",'Sac Özet'!$A$5:$A$199,0))</f>
        <v>0.41300060103490627</v>
      </c>
      <c r="K54" s="35">
        <f>SUMPRODUCT((--'Satınalma Parçaları'!$A$2:$A$107=--$A54)*'Satınalma Parçaları'!$L$2:$L$107)</f>
        <v>0</v>
      </c>
      <c r="L54" s="36">
        <f>J54+N(K54)</f>
        <v>0.41300060103490627</v>
      </c>
      <c r="M54" s="37">
        <f>AE54/100*Parametreler!$B$7</f>
        <v>1.3109999999999999</v>
      </c>
      <c r="N54" s="37">
        <f>AF54/100*Parametreler!$B$8</f>
        <v>2.0825</v>
      </c>
      <c r="O54" s="37">
        <f>AG54/100*Parametreler!$B$9</f>
        <v>0.81999999999999984</v>
      </c>
      <c r="P54" s="36">
        <f>SUM(M54:O54)</f>
        <v>4.2134999999999998</v>
      </c>
      <c r="Q54" s="38">
        <f>VLOOKUP($A54,'Yaş Boya Listesi'!$B$6:$L$131,11,FALSE())</f>
        <v>20</v>
      </c>
      <c r="R54" s="37">
        <f>IF(E54="Kataforez",N(Q54),IF(E54="Yaş boya",Parametreler!$B$10/MAX(1,ROUND(IF(ISNUMBER(Q54),Q54,Parametreler!$B$11),0)),0))</f>
        <v>4</v>
      </c>
      <c r="S54" s="36">
        <f>L54+P54+R54</f>
        <v>8.6265006010349055</v>
      </c>
      <c r="T54" s="39">
        <f>IF(S54=0,0,L54/S54)</f>
        <v>4.7875798094230627E-2</v>
      </c>
      <c r="U54" s="39">
        <f>IF(S54=0,0,P54/S54)</f>
        <v>0.48843675957021482</v>
      </c>
      <c r="V54" s="39">
        <f>IF(S54=0,0,R54/S54)</f>
        <v>0.46368744233555464</v>
      </c>
      <c r="W54" s="40">
        <f>SUM(AE54:AG54)/100*F54</f>
        <v>23.595600000000005</v>
      </c>
      <c r="X54" s="37">
        <f>IF($G54=0,0,J54/$G54)</f>
        <v>0.91170110603732069</v>
      </c>
      <c r="Y54" s="37">
        <f>IF($G54=0,0,S54/$G54)</f>
        <v>19.043047684403763</v>
      </c>
      <c r="Z54" s="41">
        <f>IF($G54=0,0,L54/$G54)</f>
        <v>0.91170110603732069</v>
      </c>
      <c r="AA54" s="36">
        <f>S54*Parametreler!$B$12</f>
        <v>12.335895859479914</v>
      </c>
      <c r="AB54" s="42">
        <f>AA54*F54</f>
        <v>1381.6203362617503</v>
      </c>
      <c r="AC54" s="43"/>
      <c r="AD54" s="30" t="s">
        <v>91</v>
      </c>
      <c r="AE54" s="44">
        <f>INDEX('İşçilik Özet'!$W$6:$W$200,MATCH($A54&amp;"",'İşçilik Özet'!$A$6:$A$200,0))</f>
        <v>6.5549999999999997</v>
      </c>
      <c r="AF54" s="44">
        <f>INDEX('İşçilik Özet'!$X$6:$X$200,MATCH($A54&amp;"",'İşçilik Özet'!$A$6:$A$200,0))</f>
        <v>10.4125</v>
      </c>
      <c r="AG54" s="44">
        <f>INDEX('İşçilik Özet'!$Y$6:$Y$200,MATCH($A54&amp;"",'İşçilik Özet'!$A$6:$A$200,0))</f>
        <v>4.0999999999999996</v>
      </c>
      <c r="AH54" s="45">
        <f>(L54+P54)*F54+IF(E54="Kataforez",N(Q54)*F54,IF(E54="Yaş boya",ROUNDUP(F54/MAX(1,ROUND(IF(ISNUMBER(Q54),Q54,Parametreler!$B$11),0)),0)*Parametreler!$B$10,0))</f>
        <v>998.16806731590952</v>
      </c>
    </row>
    <row r="55" spans="1:34" ht="15" customHeight="1" x14ac:dyDescent="0.25">
      <c r="A55" s="30">
        <v>105140</v>
      </c>
      <c r="B55" s="30" t="s">
        <v>175</v>
      </c>
      <c r="C55" s="30" t="s">
        <v>107</v>
      </c>
      <c r="D55" s="30" t="s">
        <v>85</v>
      </c>
      <c r="E55" s="30" t="s">
        <v>86</v>
      </c>
      <c r="F55" s="31">
        <v>32</v>
      </c>
      <c r="G55" s="32">
        <v>11.007</v>
      </c>
      <c r="H55" s="33">
        <f>INDEX('Sac Özet'!$L$5:$L$199,MATCH($A55&amp;"",'Sac Özet'!$A$5:$A$199,0))</f>
        <v>12.205242799999999</v>
      </c>
      <c r="I55" s="33">
        <f>INDEX('Sac Özet'!$M$5:$M$199,MATCH($A55&amp;"",'Sac Özet'!$A$5:$A$199,0))</f>
        <v>1.0486971999999994</v>
      </c>
      <c r="J55" s="34">
        <f>INDEX('Sac Özet'!$N$5:$N$199,MATCH($A55&amp;"",'Sac Özet'!$A$5:$A$199,0))</f>
        <v>9.4209842472727274</v>
      </c>
      <c r="K55" s="35">
        <f>SUMPRODUCT((--'Satınalma Parçaları'!$A$2:$A$107=--$A55)*'Satınalma Parçaları'!$L$2:$L$107)</f>
        <v>0</v>
      </c>
      <c r="L55" s="36">
        <f>J55+N(K55)</f>
        <v>9.4209842472727274</v>
      </c>
      <c r="M55" s="37">
        <f>AE55/100*Parametreler!$B$7</f>
        <v>0</v>
      </c>
      <c r="N55" s="37">
        <f>AF55/100*Parametreler!$B$8</f>
        <v>3.0824999999999996</v>
      </c>
      <c r="O55" s="37">
        <f>AG55/100*Parametreler!$B$9</f>
        <v>5.0671999999999997</v>
      </c>
      <c r="P55" s="36">
        <f>SUM(M55:O55)</f>
        <v>8.1496999999999993</v>
      </c>
      <c r="Q55" s="38">
        <f>VLOOKUP($A55,'Yaş Boya Listesi'!$B$6:$L$131,11,FALSE())</f>
        <v>6</v>
      </c>
      <c r="R55" s="37">
        <f>IF(E55="Kataforez",N(Q55),IF(E55="Yaş boya",Parametreler!$B$10/MAX(1,ROUND(IF(ISNUMBER(Q55),Q55,Parametreler!$B$11),0)),0))</f>
        <v>13.333333333333334</v>
      </c>
      <c r="S55" s="36">
        <f>L55+P55+R55</f>
        <v>30.904017580606059</v>
      </c>
      <c r="T55" s="39">
        <f>IF(S55=0,0,L55/S55)</f>
        <v>0.30484658581041268</v>
      </c>
      <c r="U55" s="39">
        <f>IF(S55=0,0,P55/S55)</f>
        <v>0.26371004930809955</v>
      </c>
      <c r="V55" s="39">
        <f>IF(S55=0,0,R55/S55)</f>
        <v>0.43144336488148782</v>
      </c>
      <c r="W55" s="40">
        <f>SUM(AE55:AG55)/100*F55</f>
        <v>13.03952</v>
      </c>
      <c r="X55" s="37">
        <f>IF($G55=0,0,J55/$G55)</f>
        <v>0.85590844437837088</v>
      </c>
      <c r="Y55" s="37">
        <f>IF($G55=0,0,S55/$G55)</f>
        <v>2.807669444953762</v>
      </c>
      <c r="Z55" s="41">
        <f>IF($G55=0,0,L55/$G55)</f>
        <v>0.85590844437837088</v>
      </c>
      <c r="AA55" s="36">
        <f>S55*Parametreler!$B$12</f>
        <v>44.192745140266659</v>
      </c>
      <c r="AB55" s="42">
        <f>AA55*F55</f>
        <v>1414.1678444885331</v>
      </c>
      <c r="AC55" s="43"/>
      <c r="AD55" s="30"/>
      <c r="AE55" s="44">
        <f>INDEX('İşçilik Özet'!$W$6:$W$200,MATCH($A55&amp;"",'İşçilik Özet'!$A$6:$A$200,0))</f>
        <v>0</v>
      </c>
      <c r="AF55" s="44">
        <f>INDEX('İşçilik Özet'!$X$6:$X$200,MATCH($A55&amp;"",'İşçilik Özet'!$A$6:$A$200,0))</f>
        <v>15.4125</v>
      </c>
      <c r="AG55" s="44">
        <f>INDEX('İşçilik Özet'!$Y$6:$Y$200,MATCH($A55&amp;"",'İşçilik Özet'!$A$6:$A$200,0))</f>
        <v>25.335999999999999</v>
      </c>
      <c r="AH55" s="45">
        <f>(L55+P55)*F55+IF(E55="Kataforez",N(Q55)*F55,IF(E55="Yaş boya",ROUNDUP(F55/MAX(1,ROUND(IF(ISNUMBER(Q55),Q55,Parametreler!$B$11),0)),0)*Parametreler!$B$10,0))</f>
        <v>1042.2618959127271</v>
      </c>
    </row>
    <row r="56" spans="1:34" ht="15" customHeight="1" x14ac:dyDescent="0.25">
      <c r="A56" s="237">
        <v>120268</v>
      </c>
      <c r="B56" s="237" t="s">
        <v>169</v>
      </c>
      <c r="C56" s="30" t="s">
        <v>148</v>
      </c>
      <c r="D56" s="30" t="s">
        <v>23</v>
      </c>
      <c r="E56" s="30" t="s">
        <v>94</v>
      </c>
      <c r="F56" s="31">
        <v>37</v>
      </c>
      <c r="G56" s="32">
        <v>8.0009999999999994</v>
      </c>
      <c r="H56" s="33">
        <f>INDEX('Sac Özet'!$L$5:$L$199,MATCH($A56&amp;"",'Sac Özet'!$A$5:$A$199,0))</f>
        <v>5.830587026801445</v>
      </c>
      <c r="I56" s="33">
        <f>INDEX('Sac Özet'!$M$5:$M$199,MATCH($A56&amp;"",'Sac Özet'!$A$5:$A$199,0))</f>
        <v>1.0646322268014461</v>
      </c>
      <c r="J56" s="34">
        <f>INDEX('Sac Özet'!$N$5:$N$199,MATCH($A56&amp;"",'Sac Özet'!$A$5:$A$199,0))</f>
        <v>4.3160445290334115</v>
      </c>
      <c r="K56" s="35">
        <f>SUMPRODUCT((--'Satınalma Parçaları'!$A$2:$A$107=--$A56)*'Satınalma Parçaları'!$L$2:$L$107)</f>
        <v>0</v>
      </c>
      <c r="L56" s="36">
        <f>J56+N(K56)</f>
        <v>4.3160445290334115</v>
      </c>
      <c r="M56" s="37">
        <f>AE56/100*Parametreler!$B$7</f>
        <v>1.3109999999999999</v>
      </c>
      <c r="N56" s="37">
        <f>AF56/100*Parametreler!$B$8</f>
        <v>5.3324999999999996</v>
      </c>
      <c r="O56" s="37">
        <f>AG56/100*Parametreler!$B$9</f>
        <v>5.6000000000000005</v>
      </c>
      <c r="P56" s="36">
        <f>SUM(M56:O56)</f>
        <v>12.243500000000001</v>
      </c>
      <c r="Q56" s="38">
        <f>IFERROR(INDEX('Kataforez Teklifleri'!$G$6:$G$50,MATCH($A56&amp;"",'Kataforez Teklifleri'!$A$6:$A$50,0)),"")</f>
        <v>6.54</v>
      </c>
      <c r="R56" s="37">
        <f>IF(E56="Kataforez",N(Q56),IF(E56="Yaş boya",Parametreler!$B$10/MAX(1,ROUND(IF(ISNUMBER(Q56),Q56,Parametreler!$B$11),0)),0))</f>
        <v>6.54</v>
      </c>
      <c r="S56" s="36">
        <f>L56+P56+R56</f>
        <v>23.099544529033412</v>
      </c>
      <c r="T56" s="39">
        <f>IF(S56=0,0,L56/S56)</f>
        <v>0.18684543860198849</v>
      </c>
      <c r="U56" s="39">
        <f>IF(S56=0,0,P56/S56)</f>
        <v>0.53003209585415678</v>
      </c>
      <c r="V56" s="39">
        <f>IF(S56=0,0,R56/S56)</f>
        <v>0.28312246554385473</v>
      </c>
      <c r="W56" s="40">
        <f>SUM(AE56:AG56)/100*F56</f>
        <v>22.650475</v>
      </c>
      <c r="X56" s="37">
        <f>IF($G56=0,0,J56/$G56)</f>
        <v>0.53943813636213123</v>
      </c>
      <c r="Y56" s="37">
        <f>IF($G56=0,0,S56/$G56)</f>
        <v>2.8870821808565696</v>
      </c>
      <c r="Z56" s="41">
        <f>IF($G56=0,0,L56/$G56)</f>
        <v>0.53943813636213123</v>
      </c>
      <c r="AA56" s="36">
        <f>S56*Parametreler!$B$12</f>
        <v>33.032348676517778</v>
      </c>
      <c r="AB56" s="42">
        <f>AA56*F56</f>
        <v>1222.1969010311577</v>
      </c>
      <c r="AC56" s="43" t="s">
        <v>170</v>
      </c>
      <c r="AD56" s="30" t="s">
        <v>2366</v>
      </c>
      <c r="AE56" s="44">
        <f>INDEX('İşçilik Özet'!$W$6:$W$200,MATCH($A56&amp;"",'İşçilik Özet'!$A$6:$A$200,0))</f>
        <v>6.5549999999999997</v>
      </c>
      <c r="AF56" s="44">
        <f>INDEX('İşçilik Özet'!$X$6:$X$200,MATCH($A56&amp;"",'İşçilik Özet'!$A$6:$A$200,0))</f>
        <v>26.662499999999998</v>
      </c>
      <c r="AG56" s="44">
        <f>INDEX('İşçilik Özet'!$Y$6:$Y$200,MATCH($A56&amp;"",'İşçilik Özet'!$A$6:$A$200,0))</f>
        <v>28</v>
      </c>
      <c r="AH56" s="45">
        <f>(L56+P56)*F56+IF(E56="Kataforez",N(Q56)*F56,IF(E56="Yaş boya",ROUNDUP(F56/MAX(1,ROUND(IF(ISNUMBER(Q56),Q56,Parametreler!$B$11),0)),0)*Parametreler!$B$10,0))</f>
        <v>854.68314757423627</v>
      </c>
    </row>
    <row r="57" spans="1:34" ht="15" customHeight="1" x14ac:dyDescent="0.25">
      <c r="A57" s="237">
        <v>120281</v>
      </c>
      <c r="B57" s="237" t="s">
        <v>171</v>
      </c>
      <c r="C57" s="30" t="s">
        <v>148</v>
      </c>
      <c r="D57" s="30" t="s">
        <v>23</v>
      </c>
      <c r="E57" s="30" t="s">
        <v>94</v>
      </c>
      <c r="F57" s="31">
        <v>37</v>
      </c>
      <c r="G57" s="32">
        <v>8.0009999999999994</v>
      </c>
      <c r="H57" s="33">
        <f>INDEX('Sac Özet'!$L$5:$L$199,MATCH($A57&amp;"",'Sac Özet'!$A$5:$A$199,0))</f>
        <v>5.830587026801445</v>
      </c>
      <c r="I57" s="33">
        <f>INDEX('Sac Özet'!$M$5:$M$199,MATCH($A57&amp;"",'Sac Özet'!$A$5:$A$199,0))</f>
        <v>1.0646322268014461</v>
      </c>
      <c r="J57" s="34">
        <f>INDEX('Sac Özet'!$N$5:$N$199,MATCH($A57&amp;"",'Sac Özet'!$A$5:$A$199,0))</f>
        <v>4.3160445290334115</v>
      </c>
      <c r="K57" s="35">
        <f>SUMPRODUCT((--'Satınalma Parçaları'!$A$2:$A$107=--$A57)*'Satınalma Parçaları'!$L$2:$L$107)</f>
        <v>0</v>
      </c>
      <c r="L57" s="36">
        <f>J57+N(K57)</f>
        <v>4.3160445290334115</v>
      </c>
      <c r="M57" s="37">
        <f>AE57/100*Parametreler!$B$7</f>
        <v>1.3109999999999999</v>
      </c>
      <c r="N57" s="37">
        <f>AF57/100*Parametreler!$B$8</f>
        <v>5.3324999999999996</v>
      </c>
      <c r="O57" s="37">
        <f>AG57/100*Parametreler!$B$9</f>
        <v>5.6000000000000005</v>
      </c>
      <c r="P57" s="36">
        <f>SUM(M57:O57)</f>
        <v>12.243500000000001</v>
      </c>
      <c r="Q57" s="38">
        <f>IFERROR(INDEX('Kataforez Teklifleri'!$G$6:$G$50,MATCH($A57&amp;"",'Kataforez Teklifleri'!$A$6:$A$50,0)),"")</f>
        <v>6.54</v>
      </c>
      <c r="R57" s="37">
        <f>IF(E57="Kataforez",N(Q57),IF(E57="Yaş boya",Parametreler!$B$10/MAX(1,ROUND(IF(ISNUMBER(Q57),Q57,Parametreler!$B$11),0)),0))</f>
        <v>6.54</v>
      </c>
      <c r="S57" s="36">
        <f>L57+P57+R57</f>
        <v>23.099544529033412</v>
      </c>
      <c r="T57" s="39">
        <f>IF(S57=0,0,L57/S57)</f>
        <v>0.18684543860198849</v>
      </c>
      <c r="U57" s="39">
        <f>IF(S57=0,0,P57/S57)</f>
        <v>0.53003209585415678</v>
      </c>
      <c r="V57" s="39">
        <f>IF(S57=0,0,R57/S57)</f>
        <v>0.28312246554385473</v>
      </c>
      <c r="W57" s="40">
        <f>SUM(AE57:AG57)/100*F57</f>
        <v>22.650475</v>
      </c>
      <c r="X57" s="37">
        <f>IF($G57=0,0,J57/$G57)</f>
        <v>0.53943813636213123</v>
      </c>
      <c r="Y57" s="37">
        <f>IF($G57=0,0,S57/$G57)</f>
        <v>2.8870821808565696</v>
      </c>
      <c r="Z57" s="41">
        <f>IF($G57=0,0,L57/$G57)</f>
        <v>0.53943813636213123</v>
      </c>
      <c r="AA57" s="36">
        <f>S57*Parametreler!$B$12</f>
        <v>33.032348676517778</v>
      </c>
      <c r="AB57" s="42">
        <f>AA57*F57</f>
        <v>1222.1969010311577</v>
      </c>
      <c r="AC57" s="43" t="s">
        <v>170</v>
      </c>
      <c r="AD57" s="30" t="s">
        <v>2366</v>
      </c>
      <c r="AE57" s="44">
        <f>INDEX('İşçilik Özet'!$W$6:$W$200,MATCH($A57&amp;"",'İşçilik Özet'!$A$6:$A$200,0))</f>
        <v>6.5549999999999997</v>
      </c>
      <c r="AF57" s="44">
        <f>INDEX('İşçilik Özet'!$X$6:$X$200,MATCH($A57&amp;"",'İşçilik Özet'!$A$6:$A$200,0))</f>
        <v>26.662499999999998</v>
      </c>
      <c r="AG57" s="44">
        <f>INDEX('İşçilik Özet'!$Y$6:$Y$200,MATCH($A57&amp;"",'İşçilik Özet'!$A$6:$A$200,0))</f>
        <v>28</v>
      </c>
      <c r="AH57" s="45">
        <f>(L57+P57)*F57+IF(E57="Kataforez",N(Q57)*F57,IF(E57="Yaş boya",ROUNDUP(F57/MAX(1,ROUND(IF(ISNUMBER(Q57),Q57,Parametreler!$B$11),0)),0)*Parametreler!$B$10,0))</f>
        <v>854.68314757423627</v>
      </c>
    </row>
    <row r="58" spans="1:34" ht="15" customHeight="1" x14ac:dyDescent="0.25">
      <c r="A58" s="30">
        <v>709898</v>
      </c>
      <c r="B58" s="30" t="s">
        <v>163</v>
      </c>
      <c r="C58" s="30" t="s">
        <v>99</v>
      </c>
      <c r="D58" s="30" t="s">
        <v>23</v>
      </c>
      <c r="E58" s="30" t="s">
        <v>86</v>
      </c>
      <c r="F58" s="31">
        <v>108</v>
      </c>
      <c r="G58" s="32">
        <v>1.054</v>
      </c>
      <c r="H58" s="33">
        <f>INDEX('Sac Özet'!$L$5:$L$199,MATCH($A58&amp;"",'Sac Özet'!$A$5:$A$199,0))</f>
        <v>1.3250350582707346</v>
      </c>
      <c r="I58" s="33">
        <f>INDEX('Sac Özet'!$M$5:$M$199,MATCH($A58&amp;"",'Sac Özet'!$A$5:$A$199,0))</f>
        <v>0.27099985827073475</v>
      </c>
      <c r="J58" s="34">
        <f>INDEX('Sac Özet'!$N$5:$N$199,MATCH($A58&amp;"",'Sac Özet'!$A$5:$A$199,0))</f>
        <v>0.97133718390980195</v>
      </c>
      <c r="K58" s="35">
        <f>SUMPRODUCT((--'Satınalma Parçaları'!$A$2:$A$107=--$A58)*'Satınalma Parçaları'!$L$2:$L$107)</f>
        <v>0</v>
      </c>
      <c r="L58" s="36">
        <f>J58+N(K58)</f>
        <v>0.97133718390980195</v>
      </c>
      <c r="M58" s="37">
        <f>AE58/100*Parametreler!$B$7</f>
        <v>0</v>
      </c>
      <c r="N58" s="37">
        <f>AF58/100*Parametreler!$B$8</f>
        <v>1.8325</v>
      </c>
      <c r="O58" s="37">
        <f>AG58/100*Parametreler!$B$9</f>
        <v>0.55399999999999994</v>
      </c>
      <c r="P58" s="36">
        <f>SUM(M58:O58)</f>
        <v>2.3864999999999998</v>
      </c>
      <c r="Q58" s="38">
        <f>VLOOKUP($A58,'Yaş Boya Listesi'!$B$6:$L$131,11,FALSE())</f>
        <v>20</v>
      </c>
      <c r="R58" s="37">
        <f>IF(E58="Kataforez",N(Q58),IF(E58="Yaş boya",Parametreler!$B$10/MAX(1,ROUND(IF(ISNUMBER(Q58),Q58,Parametreler!$B$11),0)),0))</f>
        <v>4</v>
      </c>
      <c r="S58" s="36">
        <f>L58+P58+R58</f>
        <v>7.357837183909802</v>
      </c>
      <c r="T58" s="39">
        <f>IF(S58=0,0,L58/S58)</f>
        <v>0.13201395459441975</v>
      </c>
      <c r="U58" s="39">
        <f>IF(S58=0,0,P58/S58)</f>
        <v>0.32434803058959011</v>
      </c>
      <c r="V58" s="39">
        <f>IF(S58=0,0,R58/S58)</f>
        <v>0.54363801481599017</v>
      </c>
      <c r="W58" s="40">
        <f>SUM(AE58:AG58)/100*F58</f>
        <v>12.887099999999998</v>
      </c>
      <c r="X58" s="37">
        <f>IF($G58=0,0,J58/$G58)</f>
        <v>0.92157228074933772</v>
      </c>
      <c r="Y58" s="37">
        <f>IF($G58=0,0,S58/$G58)</f>
        <v>6.9808701934628097</v>
      </c>
      <c r="Z58" s="41">
        <f>IF($G58=0,0,L58/$G58)</f>
        <v>0.92157228074933772</v>
      </c>
      <c r="AA58" s="36">
        <f>S58*Parametreler!$B$12</f>
        <v>10.521707172991016</v>
      </c>
      <c r="AB58" s="42">
        <f>AA58*F58</f>
        <v>1136.3443746830299</v>
      </c>
      <c r="AC58" s="43"/>
      <c r="AD58" s="30" t="s">
        <v>91</v>
      </c>
      <c r="AE58" s="44">
        <f>INDEX('İşçilik Özet'!$W$6:$W$200,MATCH($A58&amp;"",'İşçilik Özet'!$A$6:$A$200,0))</f>
        <v>0</v>
      </c>
      <c r="AF58" s="44">
        <f>INDEX('İşçilik Özet'!$X$6:$X$200,MATCH($A58&amp;"",'İşçilik Özet'!$A$6:$A$200,0))</f>
        <v>9.1624999999999996</v>
      </c>
      <c r="AG58" s="44">
        <f>INDEX('İşçilik Özet'!$Y$6:$Y$200,MATCH($A58&amp;"",'İşçilik Özet'!$A$6:$A$200,0))</f>
        <v>2.77</v>
      </c>
      <c r="AH58" s="45">
        <f>(L58+P58)*F58+IF(E58="Kataforez",N(Q58)*F58,IF(E58="Yaş boya",ROUNDUP(F58/MAX(1,ROUND(IF(ISNUMBER(Q58),Q58,Parametreler!$B$11),0)),0)*Parametreler!$B$10,0))</f>
        <v>842.64641586225866</v>
      </c>
    </row>
    <row r="59" spans="1:34" ht="15" customHeight="1" x14ac:dyDescent="0.25">
      <c r="A59" s="30">
        <v>561769</v>
      </c>
      <c r="B59" s="30" t="s">
        <v>160</v>
      </c>
      <c r="C59" s="30" t="s">
        <v>99</v>
      </c>
      <c r="D59" s="30" t="s">
        <v>23</v>
      </c>
      <c r="E59" s="30" t="s">
        <v>124</v>
      </c>
      <c r="F59" s="31">
        <v>93</v>
      </c>
      <c r="G59" s="32">
        <v>2.7210000000000001</v>
      </c>
      <c r="H59" s="33">
        <f>INDEX('Sac Özet'!$L$5:$L$199,MATCH($A59&amp;"",'Sac Özet'!$A$5:$A$199,0))</f>
        <v>3.3534985240656585</v>
      </c>
      <c r="I59" s="33">
        <f>INDEX('Sac Özet'!$M$5:$M$199,MATCH($A59&amp;"",'Sac Özet'!$A$5:$A$199,0))</f>
        <v>0.66248712406565868</v>
      </c>
      <c r="J59" s="34">
        <f>INDEX('Sac Özet'!$N$5:$N$199,MATCH($A59&amp;"",'Sac Özet'!$A$5:$A$199,0))</f>
        <v>2.4659848513764935</v>
      </c>
      <c r="K59" s="35">
        <f>SUMPRODUCT((--'Satınalma Parçaları'!$A$2:$A$107=--$A59)*'Satınalma Parçaları'!$L$2:$L$107)</f>
        <v>7.1272727272727196E-2</v>
      </c>
      <c r="L59" s="36">
        <f>J59+N(K59)</f>
        <v>2.5372575786492209</v>
      </c>
      <c r="M59" s="37">
        <f>AE59/100*Parametreler!$B$7</f>
        <v>1.5409999999999999</v>
      </c>
      <c r="N59" s="37">
        <f>AF59/100*Parametreler!$B$8</f>
        <v>2.8325</v>
      </c>
      <c r="O59" s="37">
        <f>AG59/100*Parametreler!$B$9</f>
        <v>1.6600000000000001</v>
      </c>
      <c r="P59" s="36">
        <f>SUM(M59:O59)</f>
        <v>6.0335000000000001</v>
      </c>
      <c r="Q59" s="47"/>
      <c r="R59" s="37">
        <f>IF(E59="Kataforez",N(Q59),IF(E59="Yaş boya",Parametreler!$B$10/MAX(1,ROUND(IF(ISNUMBER(Q59),Q59,Parametreler!$B$11),0)),0))</f>
        <v>0</v>
      </c>
      <c r="S59" s="36">
        <f>L59+P59+R59</f>
        <v>8.5707575786492214</v>
      </c>
      <c r="T59" s="39">
        <f>IF(S59=0,0,L59/S59)</f>
        <v>0.29603655865495854</v>
      </c>
      <c r="U59" s="39">
        <f>IF(S59=0,0,P59/S59)</f>
        <v>0.70396344134504141</v>
      </c>
      <c r="V59" s="39">
        <f>IF(S59=0,0,R59/S59)</f>
        <v>0</v>
      </c>
      <c r="W59" s="40">
        <f>SUM(AE59:AG59)/100*F59</f>
        <v>28.055775000000004</v>
      </c>
      <c r="X59" s="37">
        <f>IF($G59=0,0,J59/$G59)</f>
        <v>0.90627888694468706</v>
      </c>
      <c r="Y59" s="37">
        <f>IF($G59=0,0,S59/$G59)</f>
        <v>3.1498557804664538</v>
      </c>
      <c r="Z59" s="41">
        <f>IF($G59=0,0,L59/$G59)</f>
        <v>0.93247246550871765</v>
      </c>
      <c r="AA59" s="36">
        <f>S59*Parametreler!$B$12</f>
        <v>12.256183337468386</v>
      </c>
      <c r="AB59" s="42">
        <f>AA59*F59</f>
        <v>1139.82505038456</v>
      </c>
      <c r="AC59" s="43" t="s">
        <v>161</v>
      </c>
      <c r="AD59" s="30" t="s">
        <v>96</v>
      </c>
      <c r="AE59" s="44">
        <f>INDEX('İşçilik Özet'!$W$6:$W$200,MATCH($A59&amp;"",'İşçilik Özet'!$A$6:$A$200,0))</f>
        <v>7.7049999999999992</v>
      </c>
      <c r="AF59" s="44">
        <f>INDEX('İşçilik Özet'!$X$6:$X$200,MATCH($A59&amp;"",'İşçilik Özet'!$A$6:$A$200,0))</f>
        <v>14.1625</v>
      </c>
      <c r="AG59" s="44">
        <f>INDEX('İşçilik Özet'!$Y$6:$Y$200,MATCH($A59&amp;"",'İşçilik Özet'!$A$6:$A$200,0))</f>
        <v>8.3000000000000007</v>
      </c>
      <c r="AH59" s="45">
        <f>(L59+P59)*F59+IF(E59="Kataforez",N(Q59)*F59,IF(E59="Yaş boya",ROUNDUP(F59/MAX(1,ROUND(IF(ISNUMBER(Q59),Q59,Parametreler!$B$11),0)),0)*Parametreler!$B$10,0))</f>
        <v>797.08045481437762</v>
      </c>
    </row>
    <row r="60" spans="1:34" ht="15" customHeight="1" x14ac:dyDescent="0.25">
      <c r="A60" s="30">
        <v>109189</v>
      </c>
      <c r="B60" s="30" t="s">
        <v>203</v>
      </c>
      <c r="C60" s="30" t="s">
        <v>119</v>
      </c>
      <c r="D60" s="30" t="s">
        <v>85</v>
      </c>
      <c r="E60" s="30" t="s">
        <v>94</v>
      </c>
      <c r="F60" s="31">
        <v>5</v>
      </c>
      <c r="G60" s="32">
        <v>45.994</v>
      </c>
      <c r="H60" s="33">
        <f>INDEX('Sac Özet'!$L$5:$L$199,MATCH($A60&amp;"",'Sac Özet'!$A$5:$A$199,0))</f>
        <v>99.17519655000001</v>
      </c>
      <c r="I60" s="33">
        <f>INDEX('Sac Özet'!$M$5:$M$199,MATCH($A60&amp;"",'Sac Özet'!$A$5:$A$199,0))</f>
        <v>53.171284199999995</v>
      </c>
      <c r="J60" s="34">
        <f>INDEX('Sac Özet'!$N$5:$N$199,MATCH($A60&amp;"",'Sac Özet'!$A$5:$A$199,0))</f>
        <v>61.938646047272726</v>
      </c>
      <c r="K60" s="35">
        <f>SUMPRODUCT((--'Satınalma Parçaları'!$A$2:$A$107=--$A60)*'Satınalma Parçaları'!$L$2:$L$107)</f>
        <v>2.9454545454545459E-2</v>
      </c>
      <c r="L60" s="36">
        <f>J60+N(K60)</f>
        <v>61.968100592727275</v>
      </c>
      <c r="M60" s="37">
        <f>AE60/100*Parametreler!$B$7</f>
        <v>9.8152499999999989</v>
      </c>
      <c r="N60" s="37">
        <f>AF60/100*Parametreler!$B$8</f>
        <v>9.75</v>
      </c>
      <c r="O60" s="37">
        <f>AG60/100*Parametreler!$B$9</f>
        <v>39.506400000000006</v>
      </c>
      <c r="P60" s="36">
        <f>SUM(M60:O60)</f>
        <v>59.071650000000005</v>
      </c>
      <c r="Q60" s="38">
        <f>IFERROR(INDEX('Kataforez Teklifleri'!$G$6:$G$50,MATCH($A60&amp;"",'Kataforez Teklifleri'!$A$6:$A$50,0)),"")</f>
        <v>37.380000000000003</v>
      </c>
      <c r="R60" s="37">
        <f>IF(E60="Kataforez",N(Q60),IF(E60="Yaş boya",Parametreler!$B$10/MAX(1,ROUND(IF(ISNUMBER(Q60),Q60,Parametreler!$B$11),0)),0))</f>
        <v>37.380000000000003</v>
      </c>
      <c r="S60" s="36">
        <f>L60+P60+R60</f>
        <v>158.41975059272727</v>
      </c>
      <c r="T60" s="39">
        <f>IF(S60=0,0,L60/S60)</f>
        <v>0.39116398277912773</v>
      </c>
      <c r="U60" s="39">
        <f>IF(S60=0,0,P60/S60)</f>
        <v>0.37288058956653769</v>
      </c>
      <c r="V60" s="39">
        <f>IF(S60=0,0,R60/S60)</f>
        <v>0.23595542765433469</v>
      </c>
      <c r="W60" s="40">
        <f>SUM(AE60:AG60)/100*F60</f>
        <v>14.7679125</v>
      </c>
      <c r="X60" s="37">
        <f>IF($G60=0,0,J60/$G60)</f>
        <v>1.3466679577178051</v>
      </c>
      <c r="Y60" s="37">
        <f>IF($G60=0,0,S60/$G60)</f>
        <v>3.4443568855226174</v>
      </c>
      <c r="Z60" s="41">
        <f>IF($G60=0,0,L60/$G60)</f>
        <v>1.347308357453739</v>
      </c>
      <c r="AA60" s="36">
        <f>S60*Parametreler!$B$12</f>
        <v>226.54024334759998</v>
      </c>
      <c r="AB60" s="42">
        <f>AA60*F60</f>
        <v>1132.7012167379999</v>
      </c>
      <c r="AC60" s="43" t="s">
        <v>204</v>
      </c>
      <c r="AD60" s="30" t="s">
        <v>182</v>
      </c>
      <c r="AE60" s="44">
        <f>INDEX('İşçilik Özet'!$W$6:$W$200,MATCH($A60&amp;"",'İşçilik Özet'!$A$6:$A$200,0))</f>
        <v>49.076250000000002</v>
      </c>
      <c r="AF60" s="44">
        <f>INDEX('İşçilik Özet'!$X$6:$X$200,MATCH($A60&amp;"",'İşçilik Özet'!$A$6:$A$200,0))</f>
        <v>48.75</v>
      </c>
      <c r="AG60" s="44">
        <f>INDEX('İşçilik Özet'!$Y$6:$Y$200,MATCH($A60&amp;"",'İşçilik Özet'!$A$6:$A$200,0))</f>
        <v>197.53200000000001</v>
      </c>
      <c r="AH60" s="45">
        <f>(L60+P60)*F60+IF(E60="Kataforez",N(Q60)*F60,IF(E60="Yaş boya",ROUNDUP(F60/MAX(1,ROUND(IF(ISNUMBER(Q60),Q60,Parametreler!$B$11),0)),0)*Parametreler!$B$10,0))</f>
        <v>792.09875296363634</v>
      </c>
    </row>
    <row r="61" spans="1:34" ht="15" customHeight="1" x14ac:dyDescent="0.25">
      <c r="A61" s="30">
        <v>672365</v>
      </c>
      <c r="B61" s="30" t="s">
        <v>270</v>
      </c>
      <c r="C61" s="30" t="s">
        <v>117</v>
      </c>
      <c r="D61" s="30" t="s">
        <v>85</v>
      </c>
      <c r="E61" s="30" t="s">
        <v>124</v>
      </c>
      <c r="F61" s="31">
        <v>56</v>
      </c>
      <c r="G61" s="32">
        <v>14.028</v>
      </c>
      <c r="H61" s="33">
        <f>INDEX('Sac Özet'!$L$5:$L$199,MATCH($A61&amp;"",'Sac Özet'!$A$5:$A$199,0))</f>
        <v>17.836770000000001</v>
      </c>
      <c r="I61" s="33">
        <f>INDEX('Sac Özet'!$M$5:$M$199,MATCH($A61&amp;"",'Sac Özet'!$A$5:$A$199,0))</f>
        <v>7.7081505000000003</v>
      </c>
      <c r="J61" s="34">
        <f>INDEX('Sac Özet'!$N$5:$N$199,MATCH($A61&amp;"",'Sac Özet'!$A$5:$A$199,0))</f>
        <v>11.746748563636364</v>
      </c>
      <c r="K61" s="35">
        <f>SUMPRODUCT((--'Satınalma Parçaları'!$A$2:$A$107=--$A61)*'Satınalma Parçaları'!$L$2:$L$107)</f>
        <v>0</v>
      </c>
      <c r="L61" s="36">
        <f>J61+N(K61)</f>
        <v>11.746748563636364</v>
      </c>
      <c r="M61" s="37">
        <f>AE61/100*Parametreler!$B$7</f>
        <v>0</v>
      </c>
      <c r="N61" s="37">
        <f>AF61/100*Parametreler!$B$8</f>
        <v>3.0824999999999996</v>
      </c>
      <c r="O61" s="37">
        <f>AG61/100*Parametreler!$B$9</f>
        <v>0</v>
      </c>
      <c r="P61" s="36">
        <f>SUM(M61:O61)</f>
        <v>3.0824999999999996</v>
      </c>
      <c r="Q61" s="47"/>
      <c r="R61" s="37">
        <f>IF(E61="Kataforez",N(Q61),IF(E61="Yaş boya",Parametreler!$B$10/MAX(1,ROUND(IF(ISNUMBER(Q61),Q61,Parametreler!$B$11),0)),0))</f>
        <v>0</v>
      </c>
      <c r="S61" s="36">
        <f>L61+P61+R61</f>
        <v>14.829248563636364</v>
      </c>
      <c r="T61" s="39">
        <f>IF(S61=0,0,L61/S61)</f>
        <v>0.79213376950476289</v>
      </c>
      <c r="U61" s="39">
        <f>IF(S61=0,0,P61/S61)</f>
        <v>0.20786623049523706</v>
      </c>
      <c r="V61" s="39">
        <f>IF(S61=0,0,R61/S61)</f>
        <v>0</v>
      </c>
      <c r="W61" s="40">
        <f>SUM(AE61:AG61)/100*F61</f>
        <v>8.6309999999999985</v>
      </c>
      <c r="X61" s="37">
        <f>IF($G61=0,0,J61/$G61)</f>
        <v>0.83737871140835218</v>
      </c>
      <c r="Y61" s="37">
        <f>IF($G61=0,0,S61/$G61)</f>
        <v>1.0571178046504395</v>
      </c>
      <c r="Z61" s="41">
        <f>IF($G61=0,0,L61/$G61)</f>
        <v>0.83737871140835218</v>
      </c>
      <c r="AA61" s="36">
        <f>S61*Parametreler!$B$12</f>
        <v>21.205825445999999</v>
      </c>
      <c r="AB61" s="42">
        <f>AA61*F61</f>
        <v>1187.5262249759999</v>
      </c>
      <c r="AC61" s="43" t="s">
        <v>271</v>
      </c>
      <c r="AD61" s="30" t="s">
        <v>101</v>
      </c>
      <c r="AE61" s="44">
        <f>INDEX('İşçilik Özet'!$W$6:$W$200,MATCH($A61&amp;"",'İşçilik Özet'!$A$6:$A$200,0))</f>
        <v>0</v>
      </c>
      <c r="AF61" s="44">
        <f>INDEX('İşçilik Özet'!$X$6:$X$200,MATCH($A61&amp;"",'İşçilik Özet'!$A$6:$A$200,0))</f>
        <v>15.4125</v>
      </c>
      <c r="AG61" s="44">
        <f>INDEX('İşçilik Özet'!$Y$6:$Y$200,MATCH($A61&amp;"",'İşçilik Özet'!$A$6:$A$200,0))</f>
        <v>0</v>
      </c>
      <c r="AH61" s="45">
        <f>(L61+P61)*F61+IF(E61="Kataforez",N(Q61)*F61,IF(E61="Yaş boya",ROUNDUP(F61/MAX(1,ROUND(IF(ISNUMBER(Q61),Q61,Parametreler!$B$11),0)),0)*Parametreler!$B$10,0))</f>
        <v>830.43791956363634</v>
      </c>
    </row>
    <row r="62" spans="1:34" ht="15" customHeight="1" x14ac:dyDescent="0.25">
      <c r="A62" s="30">
        <v>707775</v>
      </c>
      <c r="B62" s="30" t="s">
        <v>205</v>
      </c>
      <c r="C62" s="30" t="s">
        <v>156</v>
      </c>
      <c r="D62" s="30" t="s">
        <v>85</v>
      </c>
      <c r="E62" s="30" t="s">
        <v>86</v>
      </c>
      <c r="F62" s="31">
        <v>16</v>
      </c>
      <c r="G62" s="32">
        <v>10.012</v>
      </c>
      <c r="H62" s="33">
        <f>INDEX('Sac Özet'!$L$5:$L$199,MATCH($A62&amp;"",'Sac Özet'!$A$5:$A$199,0))</f>
        <v>17.497704635999998</v>
      </c>
      <c r="I62" s="33">
        <f>INDEX('Sac Özet'!$M$5:$M$199,MATCH($A62&amp;"",'Sac Özet'!$A$5:$A$199,0))</f>
        <v>7.4850610359999985</v>
      </c>
      <c r="J62" s="34">
        <f>INDEX('Sac Özet'!$N$5:$N$199,MATCH($A62&amp;"",'Sac Özet'!$A$5:$A$199,0))</f>
        <v>11.548507369745455</v>
      </c>
      <c r="K62" s="35">
        <f>SUMPRODUCT((--'Satınalma Parçaları'!$A$2:$A$107=--$A62)*'Satınalma Parçaları'!$L$2:$L$107)</f>
        <v>0</v>
      </c>
      <c r="L62" s="36">
        <f>J62+N(K62)</f>
        <v>11.548507369745455</v>
      </c>
      <c r="M62" s="37">
        <f>AE62/100*Parametreler!$B$7</f>
        <v>3.4557500000000001</v>
      </c>
      <c r="N62" s="37">
        <f>AF62/100*Parametreler!$B$8</f>
        <v>2.3325</v>
      </c>
      <c r="O62" s="37">
        <f>AG62/100*Parametreler!$B$9</f>
        <v>3.2081999999999997</v>
      </c>
      <c r="P62" s="36">
        <f>SUM(M62:O62)</f>
        <v>8.9964499999999994</v>
      </c>
      <c r="Q62" s="38">
        <f>VLOOKUP($A62,'Yaş Boya Listesi'!$B$6:$L$131,11,FALSE())</f>
        <v>3</v>
      </c>
      <c r="R62" s="37">
        <f>IF(E62="Kataforez",N(Q62),IF(E62="Yaş boya",Parametreler!$B$10/MAX(1,ROUND(IF(ISNUMBER(Q62),Q62,Parametreler!$B$11),0)),0))</f>
        <v>26.666666666666668</v>
      </c>
      <c r="S62" s="36">
        <f>L62+P62+R62</f>
        <v>47.211624036412118</v>
      </c>
      <c r="T62" s="39">
        <f>IF(S62=0,0,L62/S62)</f>
        <v>0.24461152534889777</v>
      </c>
      <c r="U62" s="39">
        <f>IF(S62=0,0,P62/S62)</f>
        <v>0.19055582568101148</v>
      </c>
      <c r="V62" s="39">
        <f>IF(S62=0,0,R62/S62)</f>
        <v>0.56483264897009078</v>
      </c>
      <c r="W62" s="40">
        <f>SUM(AE62:AG62)/100*F62</f>
        <v>7.1971600000000011</v>
      </c>
      <c r="X62" s="37">
        <f>IF($G62=0,0,J62/$G62)</f>
        <v>1.1534665770820469</v>
      </c>
      <c r="Y62" s="37">
        <f>IF($G62=0,0,S62/$G62)</f>
        <v>4.7155037990823132</v>
      </c>
      <c r="Z62" s="41">
        <f>IF($G62=0,0,L62/$G62)</f>
        <v>1.1534665770820469</v>
      </c>
      <c r="AA62" s="36">
        <f>S62*Parametreler!$B$12</f>
        <v>67.51262237206933</v>
      </c>
      <c r="AB62" s="42">
        <f>AA62*F62</f>
        <v>1080.2019579531093</v>
      </c>
      <c r="AC62" s="43"/>
      <c r="AD62" s="30"/>
      <c r="AE62" s="44">
        <f>INDEX('İşçilik Özet'!$W$6:$W$200,MATCH($A62&amp;"",'İşçilik Özet'!$A$6:$A$200,0))</f>
        <v>17.278750000000002</v>
      </c>
      <c r="AF62" s="44">
        <f>INDEX('İşçilik Özet'!$X$6:$X$200,MATCH($A62&amp;"",'İşçilik Özet'!$A$6:$A$200,0))</f>
        <v>11.6625</v>
      </c>
      <c r="AG62" s="44">
        <f>INDEX('İşçilik Özet'!$Y$6:$Y$200,MATCH($A62&amp;"",'İşçilik Özet'!$A$6:$A$200,0))</f>
        <v>16.041</v>
      </c>
      <c r="AH62" s="45">
        <f>(L62+P62)*F62+IF(E62="Kataforez",N(Q62)*F62,IF(E62="Yaş boya",ROUNDUP(F62/MAX(1,ROUND(IF(ISNUMBER(Q62),Q62,Parametreler!$B$11),0)),0)*Parametreler!$B$10,0))</f>
        <v>808.71931791592726</v>
      </c>
    </row>
    <row r="63" spans="1:34" ht="15" customHeight="1" x14ac:dyDescent="0.25">
      <c r="A63" s="30">
        <v>106253</v>
      </c>
      <c r="B63" s="30" t="s">
        <v>187</v>
      </c>
      <c r="C63" s="30" t="s">
        <v>119</v>
      </c>
      <c r="D63" s="30" t="s">
        <v>23</v>
      </c>
      <c r="E63" s="30" t="s">
        <v>86</v>
      </c>
      <c r="F63" s="31">
        <v>50</v>
      </c>
      <c r="G63" s="32">
        <v>3.1320000000000001</v>
      </c>
      <c r="H63" s="33">
        <f>INDEX('Sac Özet'!$L$5:$L$199,MATCH($A63&amp;"",'Sac Özet'!$A$5:$A$199,0))</f>
        <v>3.9550748256514883</v>
      </c>
      <c r="I63" s="33">
        <f>INDEX('Sac Özet'!$M$5:$M$199,MATCH($A63&amp;"",'Sac Özet'!$A$5:$A$199,0))</f>
        <v>0.82306612565148829</v>
      </c>
      <c r="J63" s="34">
        <f>INDEX('Sac Özet'!$N$5:$N$199,MATCH($A63&amp;"",'Sac Özet'!$A$5:$A$199,0))</f>
        <v>2.8946927648534304</v>
      </c>
      <c r="K63" s="35">
        <f>SUMPRODUCT((--'Satınalma Parçaları'!$A$2:$A$107=--$A63)*'Satınalma Parçaları'!$L$2:$L$107)</f>
        <v>0</v>
      </c>
      <c r="L63" s="36">
        <f>J63+N(K63)</f>
        <v>2.8946927648534304</v>
      </c>
      <c r="M63" s="37">
        <f>AE63/100*Parametreler!$B$7</f>
        <v>1.3109999999999999</v>
      </c>
      <c r="N63" s="37">
        <f>AF63/100*Parametreler!$B$8</f>
        <v>1.8325</v>
      </c>
      <c r="O63" s="37">
        <f>AG63/100*Parametreler!$B$9</f>
        <v>0.73</v>
      </c>
      <c r="P63" s="36">
        <f>SUM(M63:O63)</f>
        <v>3.8734999999999999</v>
      </c>
      <c r="Q63" s="38">
        <f>VLOOKUP($A63,'Yaş Boya Listesi'!$B$6:$L$131,11,FALSE())</f>
        <v>10</v>
      </c>
      <c r="R63" s="37">
        <f>IF(E63="Kataforez",N(Q63),IF(E63="Yaş boya",Parametreler!$B$10/MAX(1,ROUND(IF(ISNUMBER(Q63),Q63,Parametreler!$B$11),0)),0))</f>
        <v>8</v>
      </c>
      <c r="S63" s="36">
        <f>L63+P63+R63</f>
        <v>14.768192764853431</v>
      </c>
      <c r="T63" s="39">
        <f>IF(S63=0,0,L63/S63)</f>
        <v>0.19600859840768467</v>
      </c>
      <c r="U63" s="39">
        <f>IF(S63=0,0,P63/S63)</f>
        <v>0.26228666307894327</v>
      </c>
      <c r="V63" s="39">
        <f>IF(S63=0,0,R63/S63)</f>
        <v>0.54170473851337198</v>
      </c>
      <c r="W63" s="40">
        <f>SUM(AE63:AG63)/100*F63</f>
        <v>9.6837499999999999</v>
      </c>
      <c r="X63" s="37">
        <f>IF($G63=0,0,J63/$G63)</f>
        <v>0.92423140640275547</v>
      </c>
      <c r="Y63" s="37">
        <f>IF($G63=0,0,S63/$G63)</f>
        <v>4.7152595034653357</v>
      </c>
      <c r="Z63" s="41">
        <f>IF($G63=0,0,L63/$G63)</f>
        <v>0.92423140640275547</v>
      </c>
      <c r="AA63" s="36">
        <f>S63*Parametreler!$B$12</f>
        <v>21.118515653740406</v>
      </c>
      <c r="AB63" s="42">
        <f>AA63*F63</f>
        <v>1055.9257826870203</v>
      </c>
      <c r="AC63" s="43"/>
      <c r="AD63" s="30" t="s">
        <v>91</v>
      </c>
      <c r="AE63" s="44">
        <f>INDEX('İşçilik Özet'!$W$6:$W$200,MATCH($A63&amp;"",'İşçilik Özet'!$A$6:$A$200,0))</f>
        <v>6.5549999999999997</v>
      </c>
      <c r="AF63" s="44">
        <f>INDEX('İşçilik Özet'!$X$6:$X$200,MATCH($A63&amp;"",'İşçilik Özet'!$A$6:$A$200,0))</f>
        <v>9.1624999999999996</v>
      </c>
      <c r="AG63" s="44">
        <f>INDEX('İşçilik Özet'!$Y$6:$Y$200,MATCH($A63&amp;"",'İşçilik Özet'!$A$6:$A$200,0))</f>
        <v>3.65</v>
      </c>
      <c r="AH63" s="45">
        <f>(L63+P63)*F63+IF(E63="Kataforez",N(Q63)*F63,IF(E63="Yaş boya",ROUNDUP(F63/MAX(1,ROUND(IF(ISNUMBER(Q63),Q63,Parametreler!$B$11),0)),0)*Parametreler!$B$10,0))</f>
        <v>738.40963824267146</v>
      </c>
    </row>
    <row r="64" spans="1:34" ht="15" customHeight="1" x14ac:dyDescent="0.25">
      <c r="A64" s="30">
        <v>109023</v>
      </c>
      <c r="B64" s="30" t="s">
        <v>206</v>
      </c>
      <c r="C64" s="30" t="s">
        <v>130</v>
      </c>
      <c r="D64" s="30" t="s">
        <v>85</v>
      </c>
      <c r="E64" s="30" t="s">
        <v>124</v>
      </c>
      <c r="F64" s="31">
        <v>56</v>
      </c>
      <c r="G64" s="32">
        <v>10.318</v>
      </c>
      <c r="H64" s="33">
        <f>INDEX('Sac Özet'!$L$5:$L$199,MATCH($A64&amp;"",'Sac Özet'!$A$5:$A$199,0))</f>
        <v>11.598155200000001</v>
      </c>
      <c r="I64" s="33">
        <f>INDEX('Sac Özet'!$M$5:$M$199,MATCH($A64&amp;"",'Sac Özet'!$A$5:$A$199,0))</f>
        <v>1.1471361999999996</v>
      </c>
      <c r="J64" s="34">
        <f>INDEX('Sac Özet'!$N$5:$N$199,MATCH($A64&amp;"",'Sac Özet'!$A$5:$A$199,0))</f>
        <v>8.9030977672727278</v>
      </c>
      <c r="K64" s="35">
        <f>SUMPRODUCT((--'Satınalma Parçaları'!$A$2:$A$107=--$A64)*'Satınalma Parçaları'!$L$2:$L$107)</f>
        <v>0</v>
      </c>
      <c r="L64" s="36">
        <f>J64+N(K64)</f>
        <v>8.9030977672727278</v>
      </c>
      <c r="M64" s="37">
        <f>AE64/100*Parametreler!$B$7</f>
        <v>0</v>
      </c>
      <c r="N64" s="37">
        <f>AF64/100*Parametreler!$B$8</f>
        <v>3.0824999999999996</v>
      </c>
      <c r="O64" s="37">
        <f>AG64/100*Parametreler!$B$9</f>
        <v>1.8847999999999998</v>
      </c>
      <c r="P64" s="36">
        <f>SUM(M64:O64)</f>
        <v>4.9672999999999998</v>
      </c>
      <c r="Q64" s="47"/>
      <c r="R64" s="37">
        <f>IF(E64="Kataforez",N(Q64),IF(E64="Yaş boya",Parametreler!$B$10/MAX(1,ROUND(IF(ISNUMBER(Q64),Q64,Parametreler!$B$11),0)),0))</f>
        <v>0</v>
      </c>
      <c r="S64" s="36">
        <f>L64+P64+R64</f>
        <v>13.870397767272728</v>
      </c>
      <c r="T64" s="39">
        <f>IF(S64=0,0,L64/S64)</f>
        <v>0.6418776099038509</v>
      </c>
      <c r="U64" s="39">
        <f>IF(S64=0,0,P64/S64)</f>
        <v>0.35812239009614916</v>
      </c>
      <c r="V64" s="39">
        <f>IF(S64=0,0,R64/S64)</f>
        <v>0</v>
      </c>
      <c r="W64" s="40">
        <f>SUM(AE64:AG64)/100*F64</f>
        <v>13.908440000000001</v>
      </c>
      <c r="X64" s="37">
        <f>IF($G64=0,0,J64/$G64)</f>
        <v>0.86287049498669588</v>
      </c>
      <c r="Y64" s="37">
        <f>IF($G64=0,0,S64/$G64)</f>
        <v>1.3442913129746781</v>
      </c>
      <c r="Z64" s="41">
        <f>IF($G64=0,0,L64/$G64)</f>
        <v>0.86287049498669588</v>
      </c>
      <c r="AA64" s="36">
        <f>S64*Parametreler!$B$12</f>
        <v>19.8346688072</v>
      </c>
      <c r="AB64" s="42">
        <f>AA64*F64</f>
        <v>1110.7414532032001</v>
      </c>
      <c r="AC64" s="43"/>
      <c r="AD64" s="30"/>
      <c r="AE64" s="44">
        <f>INDEX('İşçilik Özet'!$W$6:$W$200,MATCH($A64&amp;"",'İşçilik Özet'!$A$6:$A$200,0))</f>
        <v>0</v>
      </c>
      <c r="AF64" s="44">
        <f>INDEX('İşçilik Özet'!$X$6:$X$200,MATCH($A64&amp;"",'İşçilik Özet'!$A$6:$A$200,0))</f>
        <v>15.4125</v>
      </c>
      <c r="AG64" s="44">
        <f>INDEX('İşçilik Özet'!$Y$6:$Y$200,MATCH($A64&amp;"",'İşçilik Özet'!$A$6:$A$200,0))</f>
        <v>9.4239999999999995</v>
      </c>
      <c r="AH64" s="45">
        <f>(L64+P64)*F64+IF(E64="Kataforez",N(Q64)*F64,IF(E64="Yaş boya",ROUNDUP(F64/MAX(1,ROUND(IF(ISNUMBER(Q64),Q64,Parametreler!$B$11),0)),0)*Parametreler!$B$10,0))</f>
        <v>776.74227496727281</v>
      </c>
    </row>
    <row r="65" spans="1:34" ht="15" customHeight="1" x14ac:dyDescent="0.25">
      <c r="A65" s="30">
        <v>1251899</v>
      </c>
      <c r="B65" s="30" t="s">
        <v>233</v>
      </c>
      <c r="C65" s="30" t="s">
        <v>107</v>
      </c>
      <c r="D65" s="30" t="s">
        <v>85</v>
      </c>
      <c r="E65" s="30" t="s">
        <v>86</v>
      </c>
      <c r="F65" s="31">
        <v>13</v>
      </c>
      <c r="G65" s="32">
        <v>18.923999999999999</v>
      </c>
      <c r="H65" s="33">
        <f>INDEX('Sac Özet'!$L$5:$L$199,MATCH($A65&amp;"",'Sac Özet'!$A$5:$A$199,0))</f>
        <v>46.740862499999992</v>
      </c>
      <c r="I65" s="33">
        <f>INDEX('Sac Özet'!$M$5:$M$199,MATCH($A65&amp;"",'Sac Özet'!$A$5:$A$199,0))</f>
        <v>27.817338499999998</v>
      </c>
      <c r="J65" s="34">
        <f>INDEX('Sac Özet'!$N$5:$N$199,MATCH($A65&amp;"",'Sac Özet'!$A$5:$A$199,0))</f>
        <v>28.288833763636365</v>
      </c>
      <c r="K65" s="35">
        <f>SUMPRODUCT((--'Satınalma Parçaları'!$A$2:$A$107=--$A65)*'Satınalma Parçaları'!$L$2:$L$107)</f>
        <v>0</v>
      </c>
      <c r="L65" s="36">
        <f>J65+N(K65)</f>
        <v>28.288833763636365</v>
      </c>
      <c r="M65" s="37">
        <f>AE65/100*Parametreler!$B$7</f>
        <v>0</v>
      </c>
      <c r="N65" s="37">
        <f>AF65/100*Parametreler!$B$8</f>
        <v>1.5825</v>
      </c>
      <c r="O65" s="37">
        <f>AG65/100*Parametreler!$B$9</f>
        <v>3.1722000000000001</v>
      </c>
      <c r="P65" s="36">
        <f>SUM(M65:O65)</f>
        <v>4.7546999999999997</v>
      </c>
      <c r="Q65" s="38">
        <f>VLOOKUP($A65,'Yaş Boya Listesi'!$B$6:$L$131,11,FALSE())</f>
        <v>4</v>
      </c>
      <c r="R65" s="37">
        <f>IF(E65="Kataforez",N(Q65),IF(E65="Yaş boya",Parametreler!$B$10/MAX(1,ROUND(IF(ISNUMBER(Q65),Q65,Parametreler!$B$11),0)),0))</f>
        <v>20</v>
      </c>
      <c r="S65" s="36">
        <f>L65+P65+R65</f>
        <v>53.043533763636361</v>
      </c>
      <c r="T65" s="39">
        <f>IF(S65=0,0,L65/S65)</f>
        <v>0.53331352111064634</v>
      </c>
      <c r="U65" s="39">
        <f>IF(S65=0,0,P65/S65)</f>
        <v>8.9637693091623408E-2</v>
      </c>
      <c r="V65" s="39">
        <f>IF(S65=0,0,R65/S65)</f>
        <v>0.37704878579773027</v>
      </c>
      <c r="W65" s="40">
        <f>SUM(AE65:AG65)/100*F65</f>
        <v>3.0905549999999997</v>
      </c>
      <c r="X65" s="37">
        <f>IF($G65=0,0,J65/$G65)</f>
        <v>1.4948654493572378</v>
      </c>
      <c r="Y65" s="37">
        <f>IF($G65=0,0,S65/$G65)</f>
        <v>2.8029768422974195</v>
      </c>
      <c r="Z65" s="41">
        <f>IF($G65=0,0,L65/$G65)</f>
        <v>1.4948654493572378</v>
      </c>
      <c r="AA65" s="36">
        <f>S65*Parametreler!$B$12</f>
        <v>75.852253281999992</v>
      </c>
      <c r="AB65" s="42">
        <f>AA65*F65</f>
        <v>986.0792926659999</v>
      </c>
      <c r="AC65" s="43"/>
      <c r="AD65" s="30"/>
      <c r="AE65" s="44">
        <f>INDEX('İşçilik Özet'!$W$6:$W$200,MATCH($A65&amp;"",'İşçilik Özet'!$A$6:$A$200,0))</f>
        <v>0</v>
      </c>
      <c r="AF65" s="44">
        <f>INDEX('İşçilik Özet'!$X$6:$X$200,MATCH($A65&amp;"",'İşçilik Özet'!$A$6:$A$200,0))</f>
        <v>7.9124999999999996</v>
      </c>
      <c r="AG65" s="44">
        <f>INDEX('İşçilik Özet'!$Y$6:$Y$200,MATCH($A65&amp;"",'İşçilik Özet'!$A$6:$A$200,0))</f>
        <v>15.861000000000001</v>
      </c>
      <c r="AH65" s="45">
        <f>(L65+P65)*F65+IF(E65="Kataforez",N(Q65)*F65,IF(E65="Yaş boya",ROUNDUP(F65/MAX(1,ROUND(IF(ISNUMBER(Q65),Q65,Parametreler!$B$11),0)),0)*Parametreler!$B$10,0))</f>
        <v>749.56593892727267</v>
      </c>
    </row>
    <row r="66" spans="1:34" ht="15" customHeight="1" x14ac:dyDescent="0.25">
      <c r="A66" s="30">
        <v>215629</v>
      </c>
      <c r="B66" s="30" t="s">
        <v>195</v>
      </c>
      <c r="C66" s="30" t="s">
        <v>107</v>
      </c>
      <c r="D66" s="30" t="s">
        <v>23</v>
      </c>
      <c r="E66" s="30" t="s">
        <v>86</v>
      </c>
      <c r="F66" s="31">
        <v>45</v>
      </c>
      <c r="G66" s="32">
        <v>2.137</v>
      </c>
      <c r="H66" s="33">
        <f>INDEX('Sac Özet'!$L$5:$L$199,MATCH($A66&amp;"",'Sac Özet'!$A$5:$A$199,0))</f>
        <v>2.6934725915793374</v>
      </c>
      <c r="I66" s="33">
        <f>INDEX('Sac Özet'!$M$5:$M$199,MATCH($A66&amp;"",'Sac Özet'!$A$5:$A$199,0))</f>
        <v>0.55645139157933765</v>
      </c>
      <c r="J66" s="34">
        <f>INDEX('Sac Özet'!$N$5:$N$199,MATCH($A66&amp;"",'Sac Özet'!$A$5:$A$199,0))</f>
        <v>1.9726667087465959</v>
      </c>
      <c r="K66" s="35">
        <f>SUMPRODUCT((--'Satınalma Parçaları'!$A$2:$A$107=--$A66)*'Satınalma Parçaları'!$L$2:$L$107)</f>
        <v>0</v>
      </c>
      <c r="L66" s="36">
        <f>J66+N(K66)</f>
        <v>1.9726667087465959</v>
      </c>
      <c r="M66" s="37">
        <f>AE66/100*Parametreler!$B$7</f>
        <v>1.3109999999999999</v>
      </c>
      <c r="N66" s="37">
        <f>AF66/100*Parametreler!$B$8</f>
        <v>1.8325</v>
      </c>
      <c r="O66" s="37">
        <f>AG66/100*Parametreler!$B$9</f>
        <v>0.75</v>
      </c>
      <c r="P66" s="36">
        <f>SUM(M66:O66)</f>
        <v>3.8935</v>
      </c>
      <c r="Q66" s="38">
        <f>VLOOKUP($A66,'Yaş Boya Listesi'!$B$6:$L$131,11,FALSE())</f>
        <v>10</v>
      </c>
      <c r="R66" s="37">
        <f>IF(E66="Kataforez",N(Q66),IF(E66="Yaş boya",Parametreler!$B$10/MAX(1,ROUND(IF(ISNUMBER(Q66),Q66,Parametreler!$B$11),0)),0))</f>
        <v>8</v>
      </c>
      <c r="S66" s="36">
        <f>L66+P66+R66</f>
        <v>13.866166708746595</v>
      </c>
      <c r="T66" s="39">
        <f>IF(S66=0,0,L66/S66)</f>
        <v>0.14226474772600733</v>
      </c>
      <c r="U66" s="39">
        <f>IF(S66=0,0,P66/S66)</f>
        <v>0.28079137383686809</v>
      </c>
      <c r="V66" s="39">
        <f>IF(S66=0,0,R66/S66)</f>
        <v>0.57694387843712458</v>
      </c>
      <c r="W66" s="40">
        <f>SUM(AE66:AG66)/100*F66</f>
        <v>8.7603749999999998</v>
      </c>
      <c r="X66" s="37">
        <f>IF($G66=0,0,J66/$G66)</f>
        <v>0.92310093998436871</v>
      </c>
      <c r="Y66" s="37">
        <f>IF($G66=0,0,S66/$G66)</f>
        <v>6.4886133405459034</v>
      </c>
      <c r="Z66" s="41">
        <f>IF($G66=0,0,L66/$G66)</f>
        <v>0.92310093998436871</v>
      </c>
      <c r="AA66" s="36">
        <f>S66*Parametreler!$B$12</f>
        <v>19.828618393507632</v>
      </c>
      <c r="AB66" s="42">
        <f>AA66*F66</f>
        <v>892.28782770784346</v>
      </c>
      <c r="AC66" s="43"/>
      <c r="AD66" s="30" t="s">
        <v>91</v>
      </c>
      <c r="AE66" s="44">
        <f>INDEX('İşçilik Özet'!$W$6:$W$200,MATCH($A66&amp;"",'İşçilik Özet'!$A$6:$A$200,0))</f>
        <v>6.5549999999999997</v>
      </c>
      <c r="AF66" s="44">
        <f>INDEX('İşçilik Özet'!$X$6:$X$200,MATCH($A66&amp;"",'İşçilik Özet'!$A$6:$A$200,0))</f>
        <v>9.1624999999999996</v>
      </c>
      <c r="AG66" s="44">
        <f>INDEX('İşçilik Özet'!$Y$6:$Y$200,MATCH($A66&amp;"",'İşçilik Özet'!$A$6:$A$200,0))</f>
        <v>3.75</v>
      </c>
      <c r="AH66" s="45">
        <f>(L66+P66)*F66+IF(E66="Kataforez",N(Q66)*F66,IF(E66="Yaş boya",ROUNDUP(F66/MAX(1,ROUND(IF(ISNUMBER(Q66),Q66,Parametreler!$B$11),0)),0)*Parametreler!$B$10,0))</f>
        <v>663.97750189359681</v>
      </c>
    </row>
    <row r="67" spans="1:34" ht="15" customHeight="1" x14ac:dyDescent="0.25">
      <c r="A67" s="30">
        <v>561773</v>
      </c>
      <c r="B67" s="30" t="s">
        <v>197</v>
      </c>
      <c r="C67" s="30" t="s">
        <v>113</v>
      </c>
      <c r="D67" s="30" t="s">
        <v>23</v>
      </c>
      <c r="E67" s="30" t="s">
        <v>86</v>
      </c>
      <c r="F67" s="31">
        <v>19</v>
      </c>
      <c r="G67" s="32">
        <v>3.8439999999999999</v>
      </c>
      <c r="H67" s="33">
        <f>INDEX('Sac Özet'!$L$5:$L$199,MATCH($A67&amp;"",'Sac Özet'!$A$5:$A$199,0))</f>
        <v>4.8719547528517113</v>
      </c>
      <c r="I67" s="33">
        <f>INDEX('Sac Özet'!$M$5:$M$199,MATCH($A67&amp;"",'Sac Özet'!$A$5:$A$199,0))</f>
        <v>1.027982452851711</v>
      </c>
      <c r="J67" s="34">
        <f>INDEX('Sac Özet'!$N$5:$N$199,MATCH($A67&amp;"",'Sac Özet'!$A$5:$A$199,0))</f>
        <v>3.5611331813480813</v>
      </c>
      <c r="K67" s="35">
        <f>SUMPRODUCT((--'Satınalma Parçaları'!$A$2:$A$107=--$A67)*'Satınalma Parçaları'!$L$2:$L$107)</f>
        <v>0</v>
      </c>
      <c r="L67" s="36">
        <f>J67+N(K67)</f>
        <v>3.5611331813480813</v>
      </c>
      <c r="M67" s="37">
        <f>AE67/100*Parametreler!$B$7</f>
        <v>3.9329999999999998</v>
      </c>
      <c r="N67" s="37">
        <f>AF67/100*Parametreler!$B$8</f>
        <v>3.0824999999999996</v>
      </c>
      <c r="O67" s="37">
        <f>AG67/100*Parametreler!$B$9</f>
        <v>1.794</v>
      </c>
      <c r="P67" s="36">
        <f>SUM(M67:O67)</f>
        <v>8.8094999999999999</v>
      </c>
      <c r="Q67" s="38">
        <f>VLOOKUP($A67,'Yaş Boya Listesi'!$B$6:$L$131,11,FALSE())</f>
        <v>4</v>
      </c>
      <c r="R67" s="37">
        <f>IF(E67="Kataforez",N(Q67),IF(E67="Yaş boya",Parametreler!$B$10/MAX(1,ROUND(IF(ISNUMBER(Q67),Q67,Parametreler!$B$11),0)),0))</f>
        <v>20</v>
      </c>
      <c r="S67" s="36">
        <f>L67+P67+R67</f>
        <v>32.370633181348083</v>
      </c>
      <c r="T67" s="39">
        <f>IF(S67=0,0,L67/S67)</f>
        <v>0.11001123028387352</v>
      </c>
      <c r="U67" s="39">
        <f>IF(S67=0,0,P67/S67)</f>
        <v>0.272144815661994</v>
      </c>
      <c r="V67" s="39">
        <f>IF(S67=0,0,R67/S67)</f>
        <v>0.61784395405413239</v>
      </c>
      <c r="W67" s="40">
        <f>SUM(AE67:AG67)/100*F67</f>
        <v>8.3690250000000006</v>
      </c>
      <c r="X67" s="37">
        <f>IF($G67=0,0,J67/$G67)</f>
        <v>0.92641341866495353</v>
      </c>
      <c r="Y67" s="37">
        <f>IF($G67=0,0,S67/$G67)</f>
        <v>8.4210804321925306</v>
      </c>
      <c r="Z67" s="41">
        <f>IF($G67=0,0,L67/$G67)</f>
        <v>0.92641341866495353</v>
      </c>
      <c r="AA67" s="36">
        <f>S67*Parametreler!$B$12</f>
        <v>46.290005449327758</v>
      </c>
      <c r="AB67" s="42">
        <f>AA67*F67</f>
        <v>879.51010353722745</v>
      </c>
      <c r="AC67" s="43"/>
      <c r="AD67" s="30" t="s">
        <v>91</v>
      </c>
      <c r="AE67" s="44">
        <f>INDEX('İşçilik Özet'!$W$6:$W$200,MATCH($A67&amp;"",'İşçilik Özet'!$A$6:$A$200,0))</f>
        <v>19.664999999999999</v>
      </c>
      <c r="AF67" s="44">
        <f>INDEX('İşçilik Özet'!$X$6:$X$200,MATCH($A67&amp;"",'İşçilik Özet'!$A$6:$A$200,0))</f>
        <v>15.4125</v>
      </c>
      <c r="AG67" s="44">
        <f>INDEX('İşçilik Özet'!$Y$6:$Y$200,MATCH($A67&amp;"",'İşçilik Özet'!$A$6:$A$200,0))</f>
        <v>8.9700000000000006</v>
      </c>
      <c r="AH67" s="45">
        <f>(L67+P67)*F67+IF(E67="Kataforez",N(Q67)*F67,IF(E67="Yaş boya",ROUNDUP(F67/MAX(1,ROUND(IF(ISNUMBER(Q67),Q67,Parametreler!$B$11),0)),0)*Parametreler!$B$10,0))</f>
        <v>635.04203044561359</v>
      </c>
    </row>
    <row r="68" spans="1:34" ht="15" customHeight="1" x14ac:dyDescent="0.25">
      <c r="A68" s="30">
        <v>1298479</v>
      </c>
      <c r="B68" s="30" t="s">
        <v>183</v>
      </c>
      <c r="C68" s="30" t="s">
        <v>117</v>
      </c>
      <c r="D68" s="30" t="s">
        <v>85</v>
      </c>
      <c r="E68" s="30" t="s">
        <v>86</v>
      </c>
      <c r="F68" s="31">
        <v>13</v>
      </c>
      <c r="G68" s="32">
        <v>8.86</v>
      </c>
      <c r="H68" s="33">
        <f>INDEX('Sac Özet'!$L$5:$L$199,MATCH($A68&amp;"",'Sac Özet'!$A$5:$A$199,0))</f>
        <v>10.9010983575</v>
      </c>
      <c r="I68" s="33">
        <f>INDEX('Sac Özet'!$M$5:$M$199,MATCH($A68&amp;"",'Sac Özet'!$A$5:$A$199,0))</f>
        <v>2.1943729075000009</v>
      </c>
      <c r="J68" s="34">
        <f>INDEX('Sac Özet'!$N$5:$N$199,MATCH($A68&amp;"",'Sac Özet'!$A$5:$A$199,0))</f>
        <v>8.0027202799090915</v>
      </c>
      <c r="K68" s="35">
        <f>SUMPRODUCT((--'Satınalma Parçaları'!$A$2:$A$107=--$A68)*'Satınalma Parçaları'!$L$2:$L$107)</f>
        <v>9.4363636363636288E-2</v>
      </c>
      <c r="L68" s="36">
        <f>J68+N(K68)</f>
        <v>8.0970839162727284</v>
      </c>
      <c r="M68" s="37">
        <f>AE68/100*Parametreler!$B$7</f>
        <v>2.6047500000000001</v>
      </c>
      <c r="N68" s="37">
        <f>AF68/100*Parametreler!$B$8</f>
        <v>8.0824999999999996</v>
      </c>
      <c r="O68" s="37">
        <f>AG68/100*Parametreler!$B$9</f>
        <v>7.4900000000000011</v>
      </c>
      <c r="P68" s="36">
        <f>SUM(M68:O68)</f>
        <v>18.177250000000001</v>
      </c>
      <c r="Q68" s="38">
        <f>VLOOKUP($A68,'Yaş Boya Listesi'!$B$6:$L$131,11,FALSE())</f>
        <v>4</v>
      </c>
      <c r="R68" s="37">
        <f>IF(E68="Kataforez",N(Q68),IF(E68="Yaş boya",Parametreler!$B$10/MAX(1,ROUND(IF(ISNUMBER(Q68),Q68,Parametreler!$B$11),0)),0))</f>
        <v>20</v>
      </c>
      <c r="S68" s="36">
        <f>L68+P68+R68</f>
        <v>46.274333916272731</v>
      </c>
      <c r="T68" s="39">
        <f>IF(S68=0,0,L68/S68)</f>
        <v>0.17498002091015136</v>
      </c>
      <c r="U68" s="39">
        <f>IF(S68=0,0,P68/S68)</f>
        <v>0.3928149464644769</v>
      </c>
      <c r="V68" s="39">
        <f>IF(S68=0,0,R68/S68)</f>
        <v>0.43220503262537169</v>
      </c>
      <c r="W68" s="40">
        <f>SUM(AE68:AG68)/100*F68</f>
        <v>11.815212499999999</v>
      </c>
      <c r="X68" s="37">
        <f>IF($G68=0,0,J68/$G68)</f>
        <v>0.90324156658116161</v>
      </c>
      <c r="Y68" s="37">
        <f>IF($G68=0,0,S68/$G68)</f>
        <v>5.2228367851323627</v>
      </c>
      <c r="Z68" s="41">
        <f>IF($G68=0,0,L68/$G68)</f>
        <v>0.91389208987276849</v>
      </c>
      <c r="AA68" s="36">
        <f>S68*Parametreler!$B$12</f>
        <v>66.172297500270005</v>
      </c>
      <c r="AB68" s="42">
        <f>AA68*F68</f>
        <v>860.23986750351003</v>
      </c>
      <c r="AC68" s="43" t="s">
        <v>184</v>
      </c>
      <c r="AD68" s="30" t="s">
        <v>101</v>
      </c>
      <c r="AE68" s="44">
        <f>INDEX('İşçilik Özet'!$W$6:$W$200,MATCH($A68&amp;"",'İşçilik Özet'!$A$6:$A$200,0))</f>
        <v>13.02375</v>
      </c>
      <c r="AF68" s="44">
        <f>INDEX('İşçilik Özet'!$X$6:$X$200,MATCH($A68&amp;"",'İşçilik Özet'!$A$6:$A$200,0))</f>
        <v>40.412499999999994</v>
      </c>
      <c r="AG68" s="44">
        <f>INDEX('İşçilik Özet'!$Y$6:$Y$200,MATCH($A68&amp;"",'İşçilik Özet'!$A$6:$A$200,0))</f>
        <v>37.450000000000003</v>
      </c>
      <c r="AH68" s="45">
        <f>(L68+P68)*F68+IF(E68="Kataforez",N(Q68)*F68,IF(E68="Yaş boya",ROUNDUP(F68/MAX(1,ROUND(IF(ISNUMBER(Q68),Q68,Parametreler!$B$11),0)),0)*Parametreler!$B$10,0))</f>
        <v>661.56634091154547</v>
      </c>
    </row>
    <row r="69" spans="1:34" ht="15" customHeight="1" x14ac:dyDescent="0.25">
      <c r="A69" s="30">
        <v>181720</v>
      </c>
      <c r="B69" s="30" t="s">
        <v>199</v>
      </c>
      <c r="C69" s="30" t="s">
        <v>139</v>
      </c>
      <c r="D69" s="30" t="s">
        <v>23</v>
      </c>
      <c r="E69" s="30" t="s">
        <v>124</v>
      </c>
      <c r="F69" s="31">
        <v>80</v>
      </c>
      <c r="G69" s="32">
        <v>4.093</v>
      </c>
      <c r="H69" s="33">
        <f>INDEX('Sac Özet'!$L$5:$L$199,MATCH($A69&amp;"",'Sac Özet'!$A$5:$A$199,0))</f>
        <v>4.9914512195121947</v>
      </c>
      <c r="I69" s="33">
        <f>INDEX('Sac Özet'!$M$5:$M$199,MATCH($A69&amp;"",'Sac Özet'!$A$5:$A$199,0))</f>
        <v>0.89846121951219471</v>
      </c>
      <c r="J69" s="34">
        <f>INDEX('Sac Özet'!$N$5:$N$199,MATCH($A69&amp;"",'Sac Özet'!$A$5:$A$199,0))</f>
        <v>3.6991191219512194</v>
      </c>
      <c r="K69" s="35">
        <f>SUMPRODUCT((--'Satınalma Parçaları'!$A$2:$A$107=--$A69)*'Satınalma Parçaları'!$L$2:$L$107)</f>
        <v>0</v>
      </c>
      <c r="L69" s="36">
        <f>J69+N(K69)</f>
        <v>3.6991191219512194</v>
      </c>
      <c r="M69" s="37">
        <f>AE69/100*Parametreler!$B$7</f>
        <v>0</v>
      </c>
      <c r="N69" s="37">
        <f>AF69/100*Parametreler!$B$8</f>
        <v>2.5824999999999996</v>
      </c>
      <c r="O69" s="37">
        <f>AG69/100*Parametreler!$B$9</f>
        <v>1.36</v>
      </c>
      <c r="P69" s="36">
        <f>SUM(M69:O69)</f>
        <v>3.9424999999999999</v>
      </c>
      <c r="Q69" s="47"/>
      <c r="R69" s="37">
        <f>IF(E69="Kataforez",N(Q69),IF(E69="Yaş boya",Parametreler!$B$10/MAX(1,ROUND(IF(ISNUMBER(Q69),Q69,Parametreler!$B$11),0)),0))</f>
        <v>0</v>
      </c>
      <c r="S69" s="36">
        <f>L69+P69+R69</f>
        <v>7.6416191219512193</v>
      </c>
      <c r="T69" s="39">
        <f>IF(S69=0,0,L69/S69)</f>
        <v>0.48407530693661194</v>
      </c>
      <c r="U69" s="39">
        <f>IF(S69=0,0,P69/S69)</f>
        <v>0.51592469306338806</v>
      </c>
      <c r="V69" s="39">
        <f>IF(S69=0,0,R69/S69)</f>
        <v>0</v>
      </c>
      <c r="W69" s="40">
        <f>SUM(AE69:AG69)/100*F69</f>
        <v>15.77</v>
      </c>
      <c r="X69" s="37">
        <f>IF($G69=0,0,J69/$G69)</f>
        <v>0.90376719324486177</v>
      </c>
      <c r="Y69" s="37">
        <f>IF($G69=0,0,S69/$G69)</f>
        <v>1.8669970979602295</v>
      </c>
      <c r="Z69" s="41">
        <f>IF($G69=0,0,L69/$G69)</f>
        <v>0.90376719324486177</v>
      </c>
      <c r="AA69" s="36">
        <f>S69*Parametreler!$B$12</f>
        <v>10.927515344390244</v>
      </c>
      <c r="AB69" s="42">
        <f>AA69*F69</f>
        <v>874.20122755121952</v>
      </c>
      <c r="AC69" s="43"/>
      <c r="AD69" s="30" t="s">
        <v>91</v>
      </c>
      <c r="AE69" s="44">
        <f>INDEX('İşçilik Özet'!$W$6:$W$200,MATCH($A69&amp;"",'İşçilik Özet'!$A$6:$A$200,0))</f>
        <v>0</v>
      </c>
      <c r="AF69" s="44">
        <f>INDEX('İşçilik Özet'!$X$6:$X$200,MATCH($A69&amp;"",'İşçilik Özet'!$A$6:$A$200,0))</f>
        <v>12.9125</v>
      </c>
      <c r="AG69" s="44">
        <f>INDEX('İşçilik Özet'!$Y$6:$Y$200,MATCH($A69&amp;"",'İşçilik Özet'!$A$6:$A$200,0))</f>
        <v>6.8</v>
      </c>
      <c r="AH69" s="45">
        <f>(L69+P69)*F69+IF(E69="Kataforez",N(Q69)*F69,IF(E69="Yaş boya",ROUNDUP(F69/MAX(1,ROUND(IF(ISNUMBER(Q69),Q69,Parametreler!$B$11),0)),0)*Parametreler!$B$10,0))</f>
        <v>611.3295297560976</v>
      </c>
    </row>
    <row r="70" spans="1:34" ht="15" customHeight="1" x14ac:dyDescent="0.25">
      <c r="A70" s="30">
        <v>236288</v>
      </c>
      <c r="B70" s="30" t="s">
        <v>193</v>
      </c>
      <c r="C70" s="30" t="s">
        <v>194</v>
      </c>
      <c r="D70" s="30" t="s">
        <v>23</v>
      </c>
      <c r="E70" s="30" t="s">
        <v>86</v>
      </c>
      <c r="F70" s="31">
        <v>40</v>
      </c>
      <c r="G70" s="32">
        <v>1.3839999999999999</v>
      </c>
      <c r="H70" s="33">
        <f>INDEX('Sac Özet'!$L$5:$L$199,MATCH($A70&amp;"",'Sac Özet'!$A$5:$A$199,0))</f>
        <v>1.7356649207085224</v>
      </c>
      <c r="I70" s="33">
        <f>INDEX('Sac Özet'!$M$5:$M$199,MATCH($A70&amp;"",'Sac Özet'!$A$5:$A$199,0))</f>
        <v>0.35163142070852255</v>
      </c>
      <c r="J70" s="34">
        <f>INDEX('Sac Özet'!$N$5:$N$199,MATCH($A70&amp;"",'Sac Özet'!$A$5:$A$199,0))</f>
        <v>1.2734525625167561</v>
      </c>
      <c r="K70" s="35">
        <f>SUMPRODUCT((--'Satınalma Parçaları'!$A$2:$A$107=--$A70)*'Satınalma Parçaları'!$L$2:$L$107)</f>
        <v>0</v>
      </c>
      <c r="L70" s="36">
        <f>J70+N(K70)</f>
        <v>1.2734525625167561</v>
      </c>
      <c r="M70" s="37">
        <f>AE70/100*Parametreler!$B$7</f>
        <v>1.3109999999999999</v>
      </c>
      <c r="N70" s="37">
        <f>AF70/100*Parametreler!$B$8</f>
        <v>2.0825</v>
      </c>
      <c r="O70" s="37">
        <f>AG70/100*Parametreler!$B$9</f>
        <v>1.28</v>
      </c>
      <c r="P70" s="36">
        <f>SUM(M70:O70)</f>
        <v>4.6734999999999998</v>
      </c>
      <c r="Q70" s="38">
        <f>VLOOKUP($A70,'Yaş Boya Listesi'!$B$6:$L$131,11,FALSE())</f>
        <v>10</v>
      </c>
      <c r="R70" s="37">
        <f>IF(E70="Kataforez",N(Q70),IF(E70="Yaş boya",Parametreler!$B$10/MAX(1,ROUND(IF(ISNUMBER(Q70),Q70,Parametreler!$B$11),0)),0))</f>
        <v>8</v>
      </c>
      <c r="S70" s="36">
        <f>L70+P70+R70</f>
        <v>13.946952562516756</v>
      </c>
      <c r="T70" s="39">
        <f>IF(S70=0,0,L70/S70)</f>
        <v>9.1306868422226781E-2</v>
      </c>
      <c r="U70" s="39">
        <f>IF(S70=0,0,P70/S70)</f>
        <v>0.33509112324367563</v>
      </c>
      <c r="V70" s="39">
        <f>IF(S70=0,0,R70/S70)</f>
        <v>0.57360200833409758</v>
      </c>
      <c r="W70" s="40">
        <f>SUM(AE70:AG70)/100*F70</f>
        <v>9.3469999999999995</v>
      </c>
      <c r="X70" s="37">
        <f>IF($G70=0,0,J70/$G70)</f>
        <v>0.92012468389939028</v>
      </c>
      <c r="Y70" s="37">
        <f>IF($G70=0,0,S70/$G70)</f>
        <v>10.077277863090142</v>
      </c>
      <c r="Z70" s="41">
        <f>IF($G70=0,0,L70/$G70)</f>
        <v>0.92012468389939028</v>
      </c>
      <c r="AA70" s="36">
        <f>S70*Parametreler!$B$12</f>
        <v>19.944142164398961</v>
      </c>
      <c r="AB70" s="42">
        <f>AA70*F70</f>
        <v>797.7656865759584</v>
      </c>
      <c r="AC70" s="43"/>
      <c r="AD70" s="30" t="s">
        <v>91</v>
      </c>
      <c r="AE70" s="44">
        <f>INDEX('İşçilik Özet'!$W$6:$W$200,MATCH($A70&amp;"",'İşçilik Özet'!$A$6:$A$200,0))</f>
        <v>6.5549999999999997</v>
      </c>
      <c r="AF70" s="44">
        <f>INDEX('İşçilik Özet'!$X$6:$X$200,MATCH($A70&amp;"",'İşçilik Özet'!$A$6:$A$200,0))</f>
        <v>10.4125</v>
      </c>
      <c r="AG70" s="44">
        <f>INDEX('İşçilik Özet'!$Y$6:$Y$200,MATCH($A70&amp;"",'İşçilik Özet'!$A$6:$A$200,0))</f>
        <v>6.4</v>
      </c>
      <c r="AH70" s="45">
        <f>(L70+P70)*F70+IF(E70="Kataforez",N(Q70)*F70,IF(E70="Yaş boya",ROUNDUP(F70/MAX(1,ROUND(IF(ISNUMBER(Q70),Q70,Parametreler!$B$11),0)),0)*Parametreler!$B$10,0))</f>
        <v>557.87810250067025</v>
      </c>
    </row>
    <row r="71" spans="1:34" ht="15" customHeight="1" x14ac:dyDescent="0.25">
      <c r="A71" s="30">
        <v>213350</v>
      </c>
      <c r="B71" s="30" t="s">
        <v>210</v>
      </c>
      <c r="C71" s="30" t="s">
        <v>99</v>
      </c>
      <c r="D71" s="30" t="s">
        <v>23</v>
      </c>
      <c r="E71" s="30" t="s">
        <v>86</v>
      </c>
      <c r="F71" s="31">
        <v>27</v>
      </c>
      <c r="G71" s="32">
        <v>3.1560000000000001</v>
      </c>
      <c r="H71" s="33">
        <f>INDEX('Sac Özet'!$L$5:$L$199,MATCH($A71&amp;"",'Sac Özet'!$A$5:$A$199,0))</f>
        <v>3.9812916998979873</v>
      </c>
      <c r="I71" s="33">
        <f>INDEX('Sac Özet'!$M$5:$M$199,MATCH($A71&amp;"",'Sac Özet'!$A$5:$A$199,0))</f>
        <v>0.82530909989798729</v>
      </c>
      <c r="J71" s="34">
        <f>INDEX('Sac Özet'!$N$5:$N$199,MATCH($A71&amp;"",'Sac Özet'!$A$5:$A$199,0))</f>
        <v>2.9149321999517754</v>
      </c>
      <c r="K71" s="35">
        <f>SUMPRODUCT((--'Satınalma Parçaları'!$A$2:$A$107=--$A71)*'Satınalma Parçaları'!$L$2:$L$107)</f>
        <v>0</v>
      </c>
      <c r="L71" s="36">
        <f>J71+N(K71)</f>
        <v>2.9149321999517754</v>
      </c>
      <c r="M71" s="37">
        <f>AE71/100*Parametreler!$B$7</f>
        <v>1.3109999999999999</v>
      </c>
      <c r="N71" s="37">
        <f>AF71/100*Parametreler!$B$8</f>
        <v>2.0825</v>
      </c>
      <c r="O71" s="37">
        <f>AG71/100*Parametreler!$B$9</f>
        <v>0.73599999999999999</v>
      </c>
      <c r="P71" s="36">
        <f>SUM(M71:O71)</f>
        <v>4.1295000000000002</v>
      </c>
      <c r="Q71" s="38">
        <f>VLOOKUP($A71,'Yaş Boya Listesi'!$B$6:$L$131,11,FALSE())</f>
        <v>6</v>
      </c>
      <c r="R71" s="37">
        <f>IF(E71="Kataforez",N(Q71),IF(E71="Yaş boya",Parametreler!$B$10/MAX(1,ROUND(IF(ISNUMBER(Q71),Q71,Parametreler!$B$11),0)),0))</f>
        <v>13.333333333333334</v>
      </c>
      <c r="S71" s="36">
        <f>L71+P71+R71</f>
        <v>20.37776553328511</v>
      </c>
      <c r="T71" s="39">
        <f>IF(S71=0,0,L71/S71)</f>
        <v>0.14304474134764752</v>
      </c>
      <c r="U71" s="39">
        <f>IF(S71=0,0,P71/S71)</f>
        <v>0.20264734095869644</v>
      </c>
      <c r="V71" s="39">
        <f>IF(S71=0,0,R71/S71)</f>
        <v>0.65430791769365604</v>
      </c>
      <c r="W71" s="40">
        <f>SUM(AE71:AG71)/100*F71</f>
        <v>5.5748250000000006</v>
      </c>
      <c r="X71" s="37">
        <f>IF($G71=0,0,J71/$G71)</f>
        <v>0.9236160329378249</v>
      </c>
      <c r="Y71" s="37">
        <f>IF($G71=0,0,S71/$G71)</f>
        <v>6.4568331854515559</v>
      </c>
      <c r="Z71" s="41">
        <f>IF($G71=0,0,L71/$G71)</f>
        <v>0.9236160329378249</v>
      </c>
      <c r="AA71" s="36">
        <f>S71*Parametreler!$B$12</f>
        <v>29.140204712597708</v>
      </c>
      <c r="AB71" s="42">
        <f>AA71*F71</f>
        <v>786.78552724013809</v>
      </c>
      <c r="AC71" s="43"/>
      <c r="AD71" s="30" t="s">
        <v>91</v>
      </c>
      <c r="AE71" s="44">
        <f>INDEX('İşçilik Özet'!$W$6:$W$200,MATCH($A71&amp;"",'İşçilik Özet'!$A$6:$A$200,0))</f>
        <v>6.5549999999999997</v>
      </c>
      <c r="AF71" s="44">
        <f>INDEX('İşçilik Özet'!$X$6:$X$200,MATCH($A71&amp;"",'İşçilik Özet'!$A$6:$A$200,0))</f>
        <v>10.4125</v>
      </c>
      <c r="AG71" s="44">
        <f>INDEX('İşçilik Özet'!$Y$6:$Y$200,MATCH($A71&amp;"",'İşçilik Özet'!$A$6:$A$200,0))</f>
        <v>3.6799999999999997</v>
      </c>
      <c r="AH71" s="45">
        <f>(L71+P71)*F71+IF(E71="Kataforez",N(Q71)*F71,IF(E71="Yaş boya",ROUNDUP(F71/MAX(1,ROUND(IF(ISNUMBER(Q71),Q71,Parametreler!$B$11),0)),0)*Parametreler!$B$10,0))</f>
        <v>590.19966939869801</v>
      </c>
    </row>
    <row r="72" spans="1:34" ht="15" customHeight="1" x14ac:dyDescent="0.25">
      <c r="A72" s="30">
        <v>109921</v>
      </c>
      <c r="B72" s="30" t="s">
        <v>222</v>
      </c>
      <c r="C72" s="30" t="s">
        <v>110</v>
      </c>
      <c r="D72" s="30" t="s">
        <v>85</v>
      </c>
      <c r="E72" s="30" t="s">
        <v>124</v>
      </c>
      <c r="F72" s="31">
        <v>16</v>
      </c>
      <c r="G72" s="32">
        <v>26.131</v>
      </c>
      <c r="H72" s="33">
        <f>INDEX('Sac Özet'!$L$5:$L$199,MATCH($A72&amp;"",'Sac Özet'!$A$5:$A$199,0))</f>
        <v>29.273544900000001</v>
      </c>
      <c r="I72" s="33">
        <f>INDEX('Sac Özet'!$M$5:$M$199,MATCH($A72&amp;"",'Sac Özet'!$A$5:$A$199,0))</f>
        <v>3.1359023000000015</v>
      </c>
      <c r="J72" s="34">
        <f>INDEX('Sac Özet'!$N$5:$N$199,MATCH($A72&amp;"",'Sac Özet'!$A$5:$A$199,0))</f>
        <v>22.392540621818181</v>
      </c>
      <c r="K72" s="35">
        <f>SUMPRODUCT((--'Satınalma Parçaları'!$A$2:$A$107=--$A72)*'Satınalma Parçaları'!$L$2:$L$107)</f>
        <v>0</v>
      </c>
      <c r="L72" s="36">
        <f>J72+N(K72)</f>
        <v>22.392540621818181</v>
      </c>
      <c r="M72" s="37">
        <f>AE72/100*Parametreler!$B$7</f>
        <v>3.6857500000000005</v>
      </c>
      <c r="N72" s="37">
        <f>AF72/100*Parametreler!$B$8</f>
        <v>5.5</v>
      </c>
      <c r="O72" s="37">
        <f>AG72/100*Parametreler!$B$9</f>
        <v>5.0045999999999999</v>
      </c>
      <c r="P72" s="36">
        <f>SUM(M72:O72)</f>
        <v>14.19035</v>
      </c>
      <c r="Q72" s="47"/>
      <c r="R72" s="37">
        <f>IF(E72="Kataforez",N(Q72),IF(E72="Yaş boya",Parametreler!$B$10/MAX(1,ROUND(IF(ISNUMBER(Q72),Q72,Parametreler!$B$11),0)),0))</f>
        <v>0</v>
      </c>
      <c r="S72" s="36">
        <f>L72+P72+R72</f>
        <v>36.58289062181818</v>
      </c>
      <c r="T72" s="39">
        <f>IF(S72=0,0,L72/S72)</f>
        <v>0.61210418972368419</v>
      </c>
      <c r="U72" s="39">
        <f>IF(S72=0,0,P72/S72)</f>
        <v>0.38789581027631587</v>
      </c>
      <c r="V72" s="39">
        <f>IF(S72=0,0,R72/S72)</f>
        <v>0</v>
      </c>
      <c r="W72" s="40">
        <f>SUM(AE72:AG72)/100*F72</f>
        <v>11.35228</v>
      </c>
      <c r="X72" s="37">
        <f>IF($G72=0,0,J72/$G72)</f>
        <v>0.85693393371161386</v>
      </c>
      <c r="Y72" s="37">
        <f>IF($G72=0,0,S72/$G72)</f>
        <v>1.3999805067474715</v>
      </c>
      <c r="Z72" s="41">
        <f>IF($G72=0,0,L72/$G72)</f>
        <v>0.85693393371161386</v>
      </c>
      <c r="AA72" s="36">
        <f>S72*Parametreler!$B$12</f>
        <v>52.313533589199992</v>
      </c>
      <c r="AB72" s="42">
        <f>AA72*F72</f>
        <v>837.01653742719986</v>
      </c>
      <c r="AC72" s="43"/>
      <c r="AD72" s="30"/>
      <c r="AE72" s="44">
        <f>INDEX('İşçilik Özet'!$W$6:$W$200,MATCH($A72&amp;"",'İşçilik Özet'!$A$6:$A$200,0))</f>
        <v>18.428750000000001</v>
      </c>
      <c r="AF72" s="44">
        <f>INDEX('İşçilik Özet'!$X$6:$X$200,MATCH($A72&amp;"",'İşçilik Özet'!$A$6:$A$200,0))</f>
        <v>27.5</v>
      </c>
      <c r="AG72" s="44">
        <f>INDEX('İşçilik Özet'!$Y$6:$Y$200,MATCH($A72&amp;"",'İşçilik Özet'!$A$6:$A$200,0))</f>
        <v>25.023</v>
      </c>
      <c r="AH72" s="45">
        <f>(L72+P72)*F72+IF(E72="Kataforez",N(Q72)*F72,IF(E72="Yaş boya",ROUNDUP(F72/MAX(1,ROUND(IF(ISNUMBER(Q72),Q72,Parametreler!$B$11),0)),0)*Parametreler!$B$10,0))</f>
        <v>585.32624994909088</v>
      </c>
    </row>
    <row r="73" spans="1:34" ht="15" customHeight="1" x14ac:dyDescent="0.25">
      <c r="A73" s="30">
        <v>448618</v>
      </c>
      <c r="B73" s="30" t="s">
        <v>212</v>
      </c>
      <c r="C73" s="30" t="s">
        <v>194</v>
      </c>
      <c r="D73" s="30" t="s">
        <v>23</v>
      </c>
      <c r="E73" s="30" t="s">
        <v>86</v>
      </c>
      <c r="F73" s="31">
        <v>19</v>
      </c>
      <c r="G73" s="32">
        <v>3.0609999999999999</v>
      </c>
      <c r="H73" s="33">
        <f>INDEX('Sac Özet'!$L$5:$L$199,MATCH($A73&amp;"",'Sac Özet'!$A$5:$A$199,0))</f>
        <v>3.8401966312714455</v>
      </c>
      <c r="I73" s="33">
        <f>INDEX('Sac Özet'!$M$5:$M$199,MATCH($A73&amp;"",'Sac Özet'!$A$5:$A$199,0))</f>
        <v>0.77920688127144577</v>
      </c>
      <c r="J73" s="34">
        <f>INDEX('Sac Özet'!$N$5:$N$199,MATCH($A73&amp;"",'Sac Özet'!$A$5:$A$199,0))</f>
        <v>2.8171441438737745</v>
      </c>
      <c r="K73" s="35">
        <f>SUMPRODUCT((--'Satınalma Parçaları'!$A$2:$A$107=--$A73)*'Satınalma Parçaları'!$L$2:$L$107)</f>
        <v>0</v>
      </c>
      <c r="L73" s="36">
        <f>J73+N(K73)</f>
        <v>2.8171441438737745</v>
      </c>
      <c r="M73" s="37">
        <f>AE73/100*Parametreler!$B$7</f>
        <v>1.081</v>
      </c>
      <c r="N73" s="37">
        <f>AF73/100*Parametreler!$B$8</f>
        <v>2.5824999999999996</v>
      </c>
      <c r="O73" s="37">
        <f>AG73/100*Parametreler!$B$9</f>
        <v>1.6399999999999997</v>
      </c>
      <c r="P73" s="36">
        <f>SUM(M73:O73)</f>
        <v>5.3034999999999997</v>
      </c>
      <c r="Q73" s="38">
        <f>VLOOKUP($A73,'Yaş Boya Listesi'!$B$6:$L$131,11,FALSE())</f>
        <v>4</v>
      </c>
      <c r="R73" s="37">
        <f>IF(E73="Kataforez",N(Q73),IF(E73="Yaş boya",Parametreler!$B$10/MAX(1,ROUND(IF(ISNUMBER(Q73),Q73,Parametreler!$B$11),0)),0))</f>
        <v>20</v>
      </c>
      <c r="S73" s="36">
        <f>L73+P73+R73</f>
        <v>28.120644143873776</v>
      </c>
      <c r="T73" s="39">
        <f>IF(S73=0,0,L73/S73)</f>
        <v>0.10018064058064985</v>
      </c>
      <c r="U73" s="39">
        <f>IF(S73=0,0,P73/S73)</f>
        <v>0.18859809799753088</v>
      </c>
      <c r="V73" s="39">
        <f>IF(S73=0,0,R73/S73)</f>
        <v>0.71122126142181918</v>
      </c>
      <c r="W73" s="40">
        <f>SUM(AE73:AG73)/100*F73</f>
        <v>5.0383249999999995</v>
      </c>
      <c r="X73" s="37">
        <f>IF($G73=0,0,J73/$G73)</f>
        <v>0.92033457820116782</v>
      </c>
      <c r="Y73" s="37">
        <f>IF($G73=0,0,S73/$G73)</f>
        <v>9.1867507820561176</v>
      </c>
      <c r="Z73" s="41">
        <f>IF($G73=0,0,L73/$G73)</f>
        <v>0.92033457820116782</v>
      </c>
      <c r="AA73" s="36">
        <f>S73*Parametreler!$B$12</f>
        <v>40.212521125739499</v>
      </c>
      <c r="AB73" s="42">
        <f>AA73*F73</f>
        <v>764.03790138905049</v>
      </c>
      <c r="AC73" s="43"/>
      <c r="AD73" s="30" t="s">
        <v>91</v>
      </c>
      <c r="AE73" s="44">
        <f>INDEX('İşçilik Özet'!$W$6:$W$200,MATCH($A73&amp;"",'İşçilik Özet'!$A$6:$A$200,0))</f>
        <v>5.4049999999999994</v>
      </c>
      <c r="AF73" s="44">
        <f>INDEX('İşçilik Özet'!$X$6:$X$200,MATCH($A73&amp;"",'İşçilik Özet'!$A$6:$A$200,0))</f>
        <v>12.9125</v>
      </c>
      <c r="AG73" s="44">
        <f>INDEX('İşçilik Özet'!$Y$6:$Y$200,MATCH($A73&amp;"",'İşçilik Özet'!$A$6:$A$200,0))</f>
        <v>8.1999999999999993</v>
      </c>
      <c r="AH73" s="45">
        <f>(L73+P73)*F73+IF(E73="Kataforez",N(Q73)*F73,IF(E73="Yaş boya",ROUNDUP(F73/MAX(1,ROUND(IF(ISNUMBER(Q73),Q73,Parametreler!$B$11),0)),0)*Parametreler!$B$10,0))</f>
        <v>554.29223873360172</v>
      </c>
    </row>
    <row r="74" spans="1:34" ht="15" customHeight="1" x14ac:dyDescent="0.25">
      <c r="A74" s="30">
        <v>722932</v>
      </c>
      <c r="B74" s="30" t="s">
        <v>318</v>
      </c>
      <c r="C74" s="30" t="s">
        <v>84</v>
      </c>
      <c r="D74" s="30" t="s">
        <v>85</v>
      </c>
      <c r="E74" s="30" t="s">
        <v>124</v>
      </c>
      <c r="F74" s="31">
        <v>16</v>
      </c>
      <c r="G74" s="32">
        <v>18.771000000000001</v>
      </c>
      <c r="H74" s="33">
        <f>INDEX('Sac Özet'!$L$5:$L$199,MATCH($A74&amp;"",'Sac Özet'!$A$5:$A$199,0))</f>
        <v>45.946300886000003</v>
      </c>
      <c r="I74" s="33">
        <f>INDEX('Sac Özet'!$M$5:$M$199,MATCH($A74&amp;"",'Sac Özet'!$A$5:$A$199,0))</f>
        <v>27.148219886000007</v>
      </c>
      <c r="J74" s="34">
        <f>INDEX('Sac Özet'!$N$5:$N$199,MATCH($A74&amp;"",'Sac Özet'!$A$5:$A$199,0))</f>
        <v>27.872168746109097</v>
      </c>
      <c r="K74" s="35">
        <f>SUMPRODUCT((--'Satınalma Parçaları'!$A$2:$A$107=--$A74)*'Satınalma Parçaları'!$L$2:$L$107)</f>
        <v>0</v>
      </c>
      <c r="L74" s="36">
        <f>J74+N(K74)</f>
        <v>27.872168746109097</v>
      </c>
      <c r="M74" s="37">
        <f>AE74/100*Parametreler!$B$7</f>
        <v>2.8347499999999997</v>
      </c>
      <c r="N74" s="37">
        <f>AF74/100*Parametreler!$B$8</f>
        <v>3.0824999999999996</v>
      </c>
      <c r="O74" s="37">
        <f>AG74/100*Parametreler!$B$9</f>
        <v>2.6536000000000004</v>
      </c>
      <c r="P74" s="36">
        <f>SUM(M74:O74)</f>
        <v>8.5708500000000001</v>
      </c>
      <c r="Q74" s="47"/>
      <c r="R74" s="37">
        <f>IF(E74="Kataforez",N(Q74),IF(E74="Yaş boya",Parametreler!$B$10/MAX(1,ROUND(IF(ISNUMBER(Q74),Q74,Parametreler!$B$11),0)),0))</f>
        <v>0</v>
      </c>
      <c r="S74" s="36">
        <f>L74+P74+R74</f>
        <v>36.443018746109097</v>
      </c>
      <c r="T74" s="39">
        <f>IF(S74=0,0,L74/S74)</f>
        <v>0.76481503742290613</v>
      </c>
      <c r="U74" s="39">
        <f>IF(S74=0,0,P74/S74)</f>
        <v>0.23518496257709393</v>
      </c>
      <c r="V74" s="39">
        <f>IF(S74=0,0,R74/S74)</f>
        <v>0</v>
      </c>
      <c r="W74" s="40">
        <f>SUM(AE74:AG74)/100*F74</f>
        <v>6.8566799999999999</v>
      </c>
      <c r="X74" s="37">
        <f>IF($G74=0,0,J74/$G74)</f>
        <v>1.4848526315118584</v>
      </c>
      <c r="Y74" s="37">
        <f>IF($G74=0,0,S74/$G74)</f>
        <v>1.9414532388316603</v>
      </c>
      <c r="Z74" s="41">
        <f>IF($G74=0,0,L74/$G74)</f>
        <v>1.4848526315118584</v>
      </c>
      <c r="AA74" s="36">
        <f>S74*Parametreler!$B$12</f>
        <v>52.113516806936005</v>
      </c>
      <c r="AB74" s="42">
        <f>AA74*F74</f>
        <v>833.81626891097608</v>
      </c>
      <c r="AC74" s="43"/>
      <c r="AD74" s="30"/>
      <c r="AE74" s="44">
        <f>INDEX('İşçilik Özet'!$W$6:$W$200,MATCH($A74&amp;"",'İşçilik Özet'!$A$6:$A$200,0))</f>
        <v>14.17375</v>
      </c>
      <c r="AF74" s="44">
        <f>INDEX('İşçilik Özet'!$X$6:$X$200,MATCH($A74&amp;"",'İşçilik Özet'!$A$6:$A$200,0))</f>
        <v>15.4125</v>
      </c>
      <c r="AG74" s="44">
        <f>INDEX('İşçilik Özet'!$Y$6:$Y$200,MATCH($A74&amp;"",'İşçilik Özet'!$A$6:$A$200,0))</f>
        <v>13.268000000000001</v>
      </c>
      <c r="AH74" s="45">
        <f>(L74+P74)*F74+IF(E74="Kataforez",N(Q74)*F74,IF(E74="Yaş boya",ROUNDUP(F74/MAX(1,ROUND(IF(ISNUMBER(Q74),Q74,Parametreler!$B$11),0)),0)*Parametreler!$B$10,0))</f>
        <v>583.08829993774555</v>
      </c>
    </row>
    <row r="75" spans="1:34" ht="15" customHeight="1" x14ac:dyDescent="0.25">
      <c r="A75" s="237">
        <v>232718</v>
      </c>
      <c r="B75" s="237" t="s">
        <v>164</v>
      </c>
      <c r="C75" s="30" t="s">
        <v>117</v>
      </c>
      <c r="D75" s="30" t="s">
        <v>23</v>
      </c>
      <c r="E75" s="30" t="s">
        <v>124</v>
      </c>
      <c r="F75" s="31">
        <v>174</v>
      </c>
      <c r="G75" s="32">
        <v>2.2280000000000002</v>
      </c>
      <c r="H75" s="33">
        <f>INDEX('Sac Özet'!$L$5:$L$199,MATCH($A75&amp;"",'Sac Özet'!$A$5:$A$199,0))</f>
        <v>0</v>
      </c>
      <c r="I75" s="33">
        <f>INDEX('Sac Özet'!$M$5:$M$199,MATCH($A75&amp;"",'Sac Özet'!$A$5:$A$199,0))</f>
        <v>0</v>
      </c>
      <c r="J75" s="34">
        <f>INDEX('Sac Özet'!$N$5:$N$199,MATCH($A75&amp;"",'Sac Özet'!$A$5:$A$199,0))</f>
        <v>0</v>
      </c>
      <c r="K75" s="35">
        <f>SUMPRODUCT((--'Satınalma Parçaları'!$A$2:$A$107=--$A75)*'Satınalma Parçaları'!$L$2:$L$107)</f>
        <v>0</v>
      </c>
      <c r="L75" s="36">
        <f>J75+N(K75)</f>
        <v>0</v>
      </c>
      <c r="M75" s="37">
        <f>AE75/100*Parametreler!$B$7</f>
        <v>0</v>
      </c>
      <c r="N75" s="37">
        <f>AF75/100*Parametreler!$B$8</f>
        <v>1.8325</v>
      </c>
      <c r="O75" s="37">
        <f>AG75/100*Parametreler!$B$9</f>
        <v>1.0908000000000002</v>
      </c>
      <c r="P75" s="36">
        <f>SUM(M75:O75)</f>
        <v>2.9233000000000002</v>
      </c>
      <c r="Q75" s="47"/>
      <c r="R75" s="37">
        <f>IF(E75="Kataforez",N(Q75),IF(E75="Yaş boya",Parametreler!$B$10/MAX(1,ROUND(IF(ISNUMBER(Q75),Q75,Parametreler!$B$11),0)),0))</f>
        <v>0</v>
      </c>
      <c r="S75" s="36">
        <f>L75+P75+R75</f>
        <v>2.9233000000000002</v>
      </c>
      <c r="T75" s="39">
        <f>IF(S75=0,0,L75/S75)</f>
        <v>0</v>
      </c>
      <c r="U75" s="39">
        <f>IF(S75=0,0,P75/S75)</f>
        <v>1</v>
      </c>
      <c r="V75" s="39">
        <f>IF(S75=0,0,R75/S75)</f>
        <v>0</v>
      </c>
      <c r="W75" s="40">
        <f>SUM(AE75:AG75)/100*F75</f>
        <v>25.432709999999997</v>
      </c>
      <c r="X75" s="37">
        <f>IF($G75=0,0,J75/$G75)</f>
        <v>0</v>
      </c>
      <c r="Y75" s="37">
        <f>IF($G75=0,0,S75/$G75)</f>
        <v>1.3120736086175941</v>
      </c>
      <c r="Z75" s="41">
        <f>IF($G75=0,0,L75/$G75)</f>
        <v>0</v>
      </c>
      <c r="AA75" s="36">
        <f>S75*Parametreler!$B$12</f>
        <v>4.1803189999999999</v>
      </c>
      <c r="AB75" s="42">
        <f>AA75*F75</f>
        <v>727.37550599999997</v>
      </c>
      <c r="AC75" s="43" t="s">
        <v>165</v>
      </c>
      <c r="AD75" s="30" t="s">
        <v>2369</v>
      </c>
      <c r="AE75" s="44">
        <f>INDEX('İşçilik Özet'!$W$6:$W$200,MATCH($A75&amp;"",'İşçilik Özet'!$A$6:$A$200,0))</f>
        <v>0</v>
      </c>
      <c r="AF75" s="44">
        <f>INDEX('İşçilik Özet'!$X$6:$X$200,MATCH($A75&amp;"",'İşçilik Özet'!$A$6:$A$200,0))</f>
        <v>9.1624999999999996</v>
      </c>
      <c r="AG75" s="44">
        <f>INDEX('İşçilik Özet'!$Y$6:$Y$200,MATCH($A75&amp;"",'İşçilik Özet'!$A$6:$A$200,0))</f>
        <v>5.4540000000000006</v>
      </c>
      <c r="AH75" s="45">
        <f>(L75+P75)*F75+IF(E75="Kataforez",N(Q75)*F75,IF(E75="Yaş boya",ROUNDUP(F75/MAX(1,ROUND(IF(ISNUMBER(Q75),Q75,Parametreler!$B$11),0)),0)*Parametreler!$B$10,0))</f>
        <v>508.65420000000006</v>
      </c>
    </row>
    <row r="76" spans="1:34" ht="15" customHeight="1" x14ac:dyDescent="0.25">
      <c r="A76" s="30">
        <v>404570</v>
      </c>
      <c r="B76" s="30" t="s">
        <v>63</v>
      </c>
      <c r="C76" s="30" t="s">
        <v>156</v>
      </c>
      <c r="D76" s="30" t="s">
        <v>23</v>
      </c>
      <c r="E76" s="30" t="s">
        <v>94</v>
      </c>
      <c r="F76" s="31">
        <v>119</v>
      </c>
      <c r="G76" s="32">
        <v>0.36299999999999999</v>
      </c>
      <c r="H76" s="33">
        <f>INDEX('Sac Özet'!$L$5:$L$199,MATCH($A76&amp;"",'Sac Özet'!$A$5:$A$199,0))</f>
        <v>0.45717226467587868</v>
      </c>
      <c r="I76" s="33">
        <f>INDEX('Sac Özet'!$M$5:$M$199,MATCH($A76&amp;"",'Sac Özet'!$A$5:$A$199,0))</f>
        <v>9.4156864675878665E-2</v>
      </c>
      <c r="J76" s="34">
        <f>INDEX('Sac Özet'!$N$5:$N$199,MATCH($A76&amp;"",'Sac Özet'!$A$5:$A$199,0))</f>
        <v>0.33492283784677906</v>
      </c>
      <c r="K76" s="35">
        <f>SUMPRODUCT((--'Satınalma Parçaları'!$A$2:$A$107=--$A76)*'Satınalma Parçaları'!$L$2:$L$107)</f>
        <v>0</v>
      </c>
      <c r="L76" s="36">
        <f>J76+N(K76)</f>
        <v>0.33492283784677906</v>
      </c>
      <c r="M76" s="37">
        <f>AE76/100*Parametreler!$B$7</f>
        <v>1.081</v>
      </c>
      <c r="N76" s="37">
        <f>AF76/100*Parametreler!$B$8</f>
        <v>1.8325</v>
      </c>
      <c r="O76" s="37">
        <f>AG76/100*Parametreler!$B$9</f>
        <v>0.61</v>
      </c>
      <c r="P76" s="36">
        <f>SUM(M76:O76)</f>
        <v>3.5234999999999999</v>
      </c>
      <c r="Q76" s="38">
        <f>IFERROR(INDEX('Kataforez Teklifleri'!$G$6:$G$50,MATCH($A76&amp;"",'Kataforez Teklifleri'!$A$6:$A$50,0)),"")</f>
        <v>0.28999999999999998</v>
      </c>
      <c r="R76" s="37">
        <f>IF(E76="Kataforez",N(Q76),IF(E76="Yaş boya",Parametreler!$B$10/MAX(1,ROUND(IF(ISNUMBER(Q76),Q76,Parametreler!$B$11),0)),0))</f>
        <v>0.28999999999999998</v>
      </c>
      <c r="S76" s="36">
        <f>L76+P76+R76</f>
        <v>4.1484228378467787</v>
      </c>
      <c r="T76" s="39">
        <f>IF(S76=0,0,L76/S76)</f>
        <v>8.0734980723570438E-2</v>
      </c>
      <c r="U76" s="39">
        <f>IF(S76=0,0,P76/S76)</f>
        <v>0.84935893416035135</v>
      </c>
      <c r="V76" s="39">
        <f>IF(S76=0,0,R76/S76)</f>
        <v>6.9906085116078293E-2</v>
      </c>
      <c r="W76" s="40">
        <f>SUM(AE76:AG76)/100*F76</f>
        <v>20.964825000000001</v>
      </c>
      <c r="X76" s="37">
        <f>IF($G76=0,0,J76/$G76)</f>
        <v>0.9226524458588955</v>
      </c>
      <c r="Y76" s="37">
        <f>IF($G76=0,0,S76/$G76)</f>
        <v>11.428162087732172</v>
      </c>
      <c r="Z76" s="41">
        <f>IF($G76=0,0,L76/$G76)</f>
        <v>0.9226524458588955</v>
      </c>
      <c r="AA76" s="36">
        <f>S76*Parametreler!$B$12</f>
        <v>5.9322446581208936</v>
      </c>
      <c r="AB76" s="42">
        <f>AA76*F76</f>
        <v>705.93711431638633</v>
      </c>
      <c r="AC76" s="43"/>
      <c r="AD76" s="30" t="s">
        <v>91</v>
      </c>
      <c r="AE76" s="44">
        <f>INDEX('İşçilik Özet'!$W$6:$W$200,MATCH($A76&amp;"",'İşçilik Özet'!$A$6:$A$200,0))</f>
        <v>5.4049999999999994</v>
      </c>
      <c r="AF76" s="44">
        <f>INDEX('İşçilik Özet'!$X$6:$X$200,MATCH($A76&amp;"",'İşçilik Özet'!$A$6:$A$200,0))</f>
        <v>9.1624999999999996</v>
      </c>
      <c r="AG76" s="44">
        <f>INDEX('İşçilik Özet'!$Y$6:$Y$200,MATCH($A76&amp;"",'İşçilik Özet'!$A$6:$A$200,0))</f>
        <v>3.05</v>
      </c>
      <c r="AH76" s="45">
        <f>(L76+P76)*F76+IF(E76="Kataforez",N(Q76)*F76,IF(E76="Yaş boya",ROUNDUP(F76/MAX(1,ROUND(IF(ISNUMBER(Q76),Q76,Parametreler!$B$11),0)),0)*Parametreler!$B$10,0))</f>
        <v>493.66231770376669</v>
      </c>
    </row>
    <row r="77" spans="1:34" ht="15" customHeight="1" x14ac:dyDescent="0.25">
      <c r="A77" s="30">
        <v>110032</v>
      </c>
      <c r="B77" s="30" t="s">
        <v>219</v>
      </c>
      <c r="C77" s="30" t="s">
        <v>117</v>
      </c>
      <c r="D77" s="30" t="s">
        <v>23</v>
      </c>
      <c r="E77" s="30" t="s">
        <v>86</v>
      </c>
      <c r="F77" s="31">
        <v>13</v>
      </c>
      <c r="G77" s="32">
        <v>4.4210000000000003</v>
      </c>
      <c r="H77" s="33">
        <f>INDEX('Sac Özet'!$L$5:$L$199,MATCH($A77&amp;"",'Sac Özet'!$A$5:$A$199,0))</f>
        <v>5.6032981622306703</v>
      </c>
      <c r="I77" s="33">
        <f>INDEX('Sac Özet'!$M$5:$M$199,MATCH($A77&amp;"",'Sac Özet'!$A$5:$A$199,0))</f>
        <v>1.1822959122306713</v>
      </c>
      <c r="J77" s="34">
        <f>INDEX('Sac Özet'!$N$5:$N$199,MATCH($A77&amp;"",'Sac Özet'!$A$5:$A$199,0))</f>
        <v>4.0957053221454087</v>
      </c>
      <c r="K77" s="35">
        <f>SUMPRODUCT((--'Satınalma Parçaları'!$A$2:$A$107=--$A77)*'Satınalma Parçaları'!$L$2:$L$107)</f>
        <v>0</v>
      </c>
      <c r="L77" s="36">
        <f>J77+N(K77)</f>
        <v>4.0957053221454087</v>
      </c>
      <c r="M77" s="37">
        <f>AE77/100*Parametreler!$B$7</f>
        <v>3.0819999999999999</v>
      </c>
      <c r="N77" s="37">
        <f>AF77/100*Parametreler!$B$8</f>
        <v>2.3325</v>
      </c>
      <c r="O77" s="37">
        <f>AG77/100*Parametreler!$B$9</f>
        <v>1.24</v>
      </c>
      <c r="P77" s="36">
        <f>SUM(M77:O77)</f>
        <v>6.6545000000000005</v>
      </c>
      <c r="Q77" s="38">
        <f>VLOOKUP($A77,'Yaş Boya Listesi'!$B$6:$L$131,11,FALSE())</f>
        <v>3</v>
      </c>
      <c r="R77" s="37">
        <f>IF(E77="Kataforez",N(Q77),IF(E77="Yaş boya",Parametreler!$B$10/MAX(1,ROUND(IF(ISNUMBER(Q77),Q77,Parametreler!$B$11),0)),0))</f>
        <v>26.666666666666668</v>
      </c>
      <c r="S77" s="36">
        <f>L77+P77+R77</f>
        <v>37.416871988812076</v>
      </c>
      <c r="T77" s="39">
        <f>IF(S77=0,0,L77/S77)</f>
        <v>0.10946145694300836</v>
      </c>
      <c r="U77" s="39">
        <f>IF(S77=0,0,P77/S77)</f>
        <v>0.17784757640857166</v>
      </c>
      <c r="V77" s="39">
        <f>IF(S77=0,0,R77/S77)</f>
        <v>0.71269096664842002</v>
      </c>
      <c r="W77" s="40">
        <f>SUM(AE77:AG77)/100*F77</f>
        <v>4.3254250000000001</v>
      </c>
      <c r="X77" s="37">
        <f>IF($G77=0,0,J77/$G77)</f>
        <v>0.92642056596819911</v>
      </c>
      <c r="Y77" s="37">
        <f>IF($G77=0,0,S77/$G77)</f>
        <v>8.4634408479556829</v>
      </c>
      <c r="Z77" s="41">
        <f>IF($G77=0,0,L77/$G77)</f>
        <v>0.92642056596819911</v>
      </c>
      <c r="AA77" s="36">
        <f>S77*Parametreler!$B$12</f>
        <v>53.506126944001267</v>
      </c>
      <c r="AB77" s="42">
        <f>AA77*F77</f>
        <v>695.57965027201647</v>
      </c>
      <c r="AC77" s="43"/>
      <c r="AD77" s="30" t="s">
        <v>91</v>
      </c>
      <c r="AE77" s="44">
        <f>INDEX('İşçilik Özet'!$W$6:$W$200,MATCH($A77&amp;"",'İşçilik Özet'!$A$6:$A$200,0))</f>
        <v>15.409999999999998</v>
      </c>
      <c r="AF77" s="44">
        <f>INDEX('İşçilik Özet'!$X$6:$X$200,MATCH($A77&amp;"",'İşçilik Özet'!$A$6:$A$200,0))</f>
        <v>11.6625</v>
      </c>
      <c r="AG77" s="44">
        <f>INDEX('İşçilik Özet'!$Y$6:$Y$200,MATCH($A77&amp;"",'İşçilik Özet'!$A$6:$A$200,0))</f>
        <v>6.2</v>
      </c>
      <c r="AH77" s="45">
        <f>(L77+P77)*F77+IF(E77="Kataforez",N(Q77)*F77,IF(E77="Yaş boya",ROUNDUP(F77/MAX(1,ROUND(IF(ISNUMBER(Q77),Q77,Parametreler!$B$11),0)),0)*Parametreler!$B$10,0))</f>
        <v>539.75266918789032</v>
      </c>
    </row>
    <row r="78" spans="1:34" ht="15" customHeight="1" x14ac:dyDescent="0.25">
      <c r="A78" s="30">
        <v>207243</v>
      </c>
      <c r="B78" s="30" t="s">
        <v>189</v>
      </c>
      <c r="C78" s="30" t="s">
        <v>190</v>
      </c>
      <c r="D78" s="30" t="s">
        <v>23</v>
      </c>
      <c r="E78" s="30" t="s">
        <v>86</v>
      </c>
      <c r="F78" s="31">
        <v>55</v>
      </c>
      <c r="G78" s="32">
        <v>0.80100000000000005</v>
      </c>
      <c r="H78" s="33">
        <f>INDEX('Sac Özet'!$L$5:$L$199,MATCH($A78&amp;"",'Sac Özet'!$A$5:$A$199,0))</f>
        <v>0.11660583016476551</v>
      </c>
      <c r="I78" s="33">
        <f>INDEX('Sac Özet'!$M$5:$M$199,MATCH($A78&amp;"",'Sac Özet'!$A$5:$A$199,0))</f>
        <v>2.4603830164765517E-2</v>
      </c>
      <c r="J78" s="34">
        <f>INDEX('Sac Özet'!$N$5:$N$199,MATCH($A78&amp;"",'Sac Özet'!$A$5:$A$199,0))</f>
        <v>8.5232501532434612E-2</v>
      </c>
      <c r="K78" s="35">
        <f>SUMPRODUCT((--'Satınalma Parçaları'!$A$2:$A$107=--$A78)*'Satınalma Parçaları'!$L$2:$L$107)</f>
        <v>1.01</v>
      </c>
      <c r="L78" s="36">
        <f>J78+N(K78)</f>
        <v>1.0952325015324347</v>
      </c>
      <c r="M78" s="37">
        <f>AE78/100*Parametreler!$B$7</f>
        <v>1.081</v>
      </c>
      <c r="N78" s="37">
        <f>AF78/100*Parametreler!$B$8</f>
        <v>1.8325</v>
      </c>
      <c r="O78" s="37">
        <f>AG78/100*Parametreler!$B$9</f>
        <v>0.56799999999999995</v>
      </c>
      <c r="P78" s="36">
        <f>SUM(M78:O78)</f>
        <v>3.4815</v>
      </c>
      <c r="Q78" s="38">
        <f>VLOOKUP($A78,'Yaş Boya Listesi'!$B$6:$L$131,11,FALSE())</f>
        <v>20</v>
      </c>
      <c r="R78" s="37">
        <f>IF(E78="Kataforez",N(Q78),IF(E78="Yaş boya",Parametreler!$B$10/MAX(1,ROUND(IF(ISNUMBER(Q78),Q78,Parametreler!$B$11),0)),0))</f>
        <v>4</v>
      </c>
      <c r="S78" s="36">
        <f>L78+P78+R78</f>
        <v>8.5767325015324349</v>
      </c>
      <c r="T78" s="39">
        <f>IF(S78=0,0,L78/S78)</f>
        <v>0.12769810663172085</v>
      </c>
      <c r="U78" s="39">
        <f>IF(S78=0,0,P78/S78)</f>
        <v>0.40592381765176289</v>
      </c>
      <c r="V78" s="39">
        <f>IF(S78=0,0,R78/S78)</f>
        <v>0.46637807571651629</v>
      </c>
      <c r="W78" s="40">
        <f>SUM(AE78:AG78)/100*F78</f>
        <v>9.5741249999999987</v>
      </c>
      <c r="X78" s="37">
        <f>IF($G78=0,0,J78/$G78)</f>
        <v>0.106407617393801</v>
      </c>
      <c r="Y78" s="37">
        <f>IF($G78=0,0,S78/$G78)</f>
        <v>10.707531212899418</v>
      </c>
      <c r="Z78" s="41">
        <f>IF($G78=0,0,L78/$G78)</f>
        <v>1.3673314625873092</v>
      </c>
      <c r="AA78" s="36">
        <f>S78*Parametreler!$B$12</f>
        <v>12.264727477191382</v>
      </c>
      <c r="AB78" s="42">
        <f>AA78*F78</f>
        <v>674.56001124552597</v>
      </c>
      <c r="AC78" s="43" t="s">
        <v>191</v>
      </c>
      <c r="AD78" s="30" t="s">
        <v>96</v>
      </c>
      <c r="AE78" s="44">
        <f>INDEX('İşçilik Özet'!$W$6:$W$200,MATCH($A78&amp;"",'İşçilik Özet'!$A$6:$A$200,0))</f>
        <v>5.4049999999999994</v>
      </c>
      <c r="AF78" s="44">
        <f>INDEX('İşçilik Özet'!$X$6:$X$200,MATCH($A78&amp;"",'İşçilik Özet'!$A$6:$A$200,0))</f>
        <v>9.1624999999999996</v>
      </c>
      <c r="AG78" s="44">
        <f>INDEX('İşçilik Özet'!$Y$6:$Y$200,MATCH($A78&amp;"",'İşçilik Özet'!$A$6:$A$200,0))</f>
        <v>2.84</v>
      </c>
      <c r="AH78" s="45">
        <f>(L78+P78)*F78+IF(E78="Kataforez",N(Q78)*F78,IF(E78="Yaş boya",ROUNDUP(F78/MAX(1,ROUND(IF(ISNUMBER(Q78),Q78,Parametreler!$B$11),0)),0)*Parametreler!$B$10,0))</f>
        <v>491.72028758428394</v>
      </c>
    </row>
    <row r="79" spans="1:34" ht="15" customHeight="1" x14ac:dyDescent="0.25">
      <c r="A79" s="30">
        <v>235743</v>
      </c>
      <c r="B79" s="30" t="s">
        <v>224</v>
      </c>
      <c r="C79" s="30" t="s">
        <v>194</v>
      </c>
      <c r="D79" s="30" t="s">
        <v>85</v>
      </c>
      <c r="E79" s="30" t="s">
        <v>86</v>
      </c>
      <c r="F79" s="31">
        <v>10</v>
      </c>
      <c r="G79" s="32">
        <v>9.4879999999999995</v>
      </c>
      <c r="H79" s="33">
        <f>INDEX('Sac Özet'!$L$5:$L$199,MATCH($A79&amp;"",'Sac Özet'!$A$5:$A$199,0))</f>
        <v>24.284809611999997</v>
      </c>
      <c r="I79" s="33">
        <f>INDEX('Sac Özet'!$M$5:$M$199,MATCH($A79&amp;"",'Sac Özet'!$A$5:$A$199,0))</f>
        <v>14.790124711999997</v>
      </c>
      <c r="J79" s="34">
        <f>INDEX('Sac Özet'!$N$5:$N$199,MATCH($A79&amp;"",'Sac Özet'!$A$5:$A$199,0))</f>
        <v>14.587443238400001</v>
      </c>
      <c r="K79" s="35">
        <f>SUMPRODUCT((--'Satınalma Parçaları'!$A$2:$A$107=--$A79)*'Satınalma Parçaları'!$L$2:$L$107)</f>
        <v>0</v>
      </c>
      <c r="L79" s="36">
        <f>J79+N(K79)</f>
        <v>14.587443238400001</v>
      </c>
      <c r="M79" s="37">
        <f>AE79/100*Parametreler!$B$7</f>
        <v>2.1447500000000002</v>
      </c>
      <c r="N79" s="37">
        <f>AF79/100*Parametreler!$B$8</f>
        <v>3.0824999999999996</v>
      </c>
      <c r="O79" s="37">
        <f>AG79/100*Parametreler!$B$9</f>
        <v>2.3178000000000001</v>
      </c>
      <c r="P79" s="36">
        <f>SUM(M79:O79)</f>
        <v>7.5450499999999998</v>
      </c>
      <c r="Q79" s="38">
        <f>VLOOKUP($A79,'Yaş Boya Listesi'!$B$6:$L$131,11,FALSE())</f>
        <v>3</v>
      </c>
      <c r="R79" s="37">
        <f>IF(E79="Kataforez",N(Q79),IF(E79="Yaş boya",Parametreler!$B$10/MAX(1,ROUND(IF(ISNUMBER(Q79),Q79,Parametreler!$B$11),0)),0))</f>
        <v>26.666666666666668</v>
      </c>
      <c r="S79" s="36">
        <f>L79+P79+R79</f>
        <v>48.799159905066674</v>
      </c>
      <c r="T79" s="39">
        <f>IF(S79=0,0,L79/S79)</f>
        <v>0.29892816324662647</v>
      </c>
      <c r="U79" s="39">
        <f>IF(S79=0,0,P79/S79)</f>
        <v>0.15461434202306051</v>
      </c>
      <c r="V79" s="39">
        <f>IF(S79=0,0,R79/S79)</f>
        <v>0.54645749473031291</v>
      </c>
      <c r="W79" s="40">
        <f>SUM(AE79:AG79)/100*F79</f>
        <v>3.7725250000000004</v>
      </c>
      <c r="X79" s="37">
        <f>IF($G79=0,0,J79/$G79)</f>
        <v>1.5374623986509277</v>
      </c>
      <c r="Y79" s="37">
        <f>IF($G79=0,0,S79/$G79)</f>
        <v>5.1432504115795403</v>
      </c>
      <c r="Z79" s="41">
        <f>IF($G79=0,0,L79/$G79)</f>
        <v>1.5374623986509277</v>
      </c>
      <c r="AA79" s="36">
        <f>S79*Parametreler!$B$12</f>
        <v>69.782798664245334</v>
      </c>
      <c r="AB79" s="42">
        <f>AA79*F79</f>
        <v>697.82798664245331</v>
      </c>
      <c r="AC79" s="43"/>
      <c r="AD79" s="30"/>
      <c r="AE79" s="44">
        <f>INDEX('İşçilik Özet'!$W$6:$W$200,MATCH($A79&amp;"",'İşçilik Özet'!$A$6:$A$200,0))</f>
        <v>10.723750000000001</v>
      </c>
      <c r="AF79" s="44">
        <f>INDEX('İşçilik Özet'!$X$6:$X$200,MATCH($A79&amp;"",'İşçilik Özet'!$A$6:$A$200,0))</f>
        <v>15.4125</v>
      </c>
      <c r="AG79" s="44">
        <f>INDEX('İşçilik Özet'!$Y$6:$Y$200,MATCH($A79&amp;"",'İşçilik Özet'!$A$6:$A$200,0))</f>
        <v>11.589</v>
      </c>
      <c r="AH79" s="45">
        <f>(L79+P79)*F79+IF(E79="Kataforez",N(Q79)*F79,IF(E79="Yaş boya",ROUNDUP(F79/MAX(1,ROUND(IF(ISNUMBER(Q79),Q79,Parametreler!$B$11),0)),0)*Parametreler!$B$10,0))</f>
        <v>541.32493238400002</v>
      </c>
    </row>
    <row r="80" spans="1:34" ht="15" customHeight="1" x14ac:dyDescent="0.25">
      <c r="A80" s="30">
        <v>216696</v>
      </c>
      <c r="B80" s="30" t="s">
        <v>211</v>
      </c>
      <c r="C80" s="30" t="s">
        <v>117</v>
      </c>
      <c r="D80" s="30" t="s">
        <v>23</v>
      </c>
      <c r="E80" s="30" t="s">
        <v>124</v>
      </c>
      <c r="F80" s="31">
        <v>114</v>
      </c>
      <c r="G80" s="32">
        <v>5.5640000000000001</v>
      </c>
      <c r="H80" s="33">
        <f>INDEX('Sac Özet'!$L$5:$L$199,MATCH($A80&amp;"",'Sac Özet'!$A$5:$A$199,0))</f>
        <v>2.8853536585365851</v>
      </c>
      <c r="I80" s="33">
        <f>INDEX('Sac Özet'!$M$5:$M$199,MATCH($A80&amp;"",'Sac Özet'!$A$5:$A$199,0))</f>
        <v>0.51936365853658517</v>
      </c>
      <c r="J80" s="34">
        <f>INDEX('Sac Özet'!$N$5:$N$199,MATCH($A80&amp;"",'Sac Özet'!$A$5:$A$199,0))</f>
        <v>2.1383093658536585</v>
      </c>
      <c r="K80" s="35">
        <f>SUMPRODUCT((--'Satınalma Parçaları'!$A$2:$A$107=--$A80)*'Satınalma Parçaları'!$L$2:$L$107)</f>
        <v>0</v>
      </c>
      <c r="L80" s="36">
        <f>J80+N(K80)</f>
        <v>2.1383093658536585</v>
      </c>
      <c r="M80" s="37">
        <f>AE80/100*Parametreler!$B$7</f>
        <v>0</v>
      </c>
      <c r="N80" s="37">
        <f>AF80/100*Parametreler!$B$8</f>
        <v>1.5825</v>
      </c>
      <c r="O80" s="37">
        <f>AG80/100*Parametreler!$B$9</f>
        <v>0.624</v>
      </c>
      <c r="P80" s="36">
        <f>SUM(M80:O80)</f>
        <v>2.2065000000000001</v>
      </c>
      <c r="Q80" s="47"/>
      <c r="R80" s="37">
        <f>IF(E80="Kataforez",N(Q80),IF(E80="Yaş boya",Parametreler!$B$10/MAX(1,ROUND(IF(ISNUMBER(Q80),Q80,Parametreler!$B$11),0)),0))</f>
        <v>0</v>
      </c>
      <c r="S80" s="36">
        <f>L80+P80+R80</f>
        <v>4.3448093658536582</v>
      </c>
      <c r="T80" s="39">
        <f>IF(S80=0,0,L80/S80)</f>
        <v>0.49215263220956723</v>
      </c>
      <c r="U80" s="39">
        <f>IF(S80=0,0,P80/S80)</f>
        <v>0.50784736779043282</v>
      </c>
      <c r="V80" s="39">
        <f>IF(S80=0,0,R80/S80)</f>
        <v>0</v>
      </c>
      <c r="W80" s="40">
        <f>SUM(AE80:AG80)/100*F80</f>
        <v>12.57705</v>
      </c>
      <c r="X80" s="37">
        <f>IF($G80=0,0,J80/$G80)</f>
        <v>0.38431153232452525</v>
      </c>
      <c r="Y80" s="37">
        <f>IF($G80=0,0,S80/$G80)</f>
        <v>0.78087875015342523</v>
      </c>
      <c r="Z80" s="41">
        <f>IF($G80=0,0,L80/$G80)</f>
        <v>0.38431153232452525</v>
      </c>
      <c r="AA80" s="36">
        <f>S80*Parametreler!$B$12</f>
        <v>6.2130773931707308</v>
      </c>
      <c r="AB80" s="42">
        <f>AA80*F80</f>
        <v>708.29082282146328</v>
      </c>
      <c r="AC80" s="43" t="s">
        <v>125</v>
      </c>
      <c r="AD80" s="30" t="s">
        <v>96</v>
      </c>
      <c r="AE80" s="44">
        <f>INDEX('İşçilik Özet'!$W$6:$W$200,MATCH($A80&amp;"",'İşçilik Özet'!$A$6:$A$200,0))</f>
        <v>0</v>
      </c>
      <c r="AF80" s="44">
        <f>INDEX('İşçilik Özet'!$X$6:$X$200,MATCH($A80&amp;"",'İşçilik Özet'!$A$6:$A$200,0))</f>
        <v>7.9124999999999996</v>
      </c>
      <c r="AG80" s="44">
        <f>INDEX('İşçilik Özet'!$Y$6:$Y$200,MATCH($A80&amp;"",'İşçilik Özet'!$A$6:$A$200,0))</f>
        <v>3.12</v>
      </c>
      <c r="AH80" s="45">
        <f>(L80+P80)*F80+IF(E80="Kataforez",N(Q80)*F80,IF(E80="Yaş boya",ROUNDUP(F80/MAX(1,ROUND(IF(ISNUMBER(Q80),Q80,Parametreler!$B$11),0)),0)*Parametreler!$B$10,0))</f>
        <v>495.30826770731704</v>
      </c>
    </row>
    <row r="81" spans="1:34" ht="15" customHeight="1" x14ac:dyDescent="0.25">
      <c r="A81" s="30">
        <v>106857</v>
      </c>
      <c r="B81" s="30" t="s">
        <v>202</v>
      </c>
      <c r="C81" s="30" t="s">
        <v>148</v>
      </c>
      <c r="D81" s="30" t="s">
        <v>23</v>
      </c>
      <c r="E81" s="30" t="s">
        <v>86</v>
      </c>
      <c r="F81" s="31">
        <v>25</v>
      </c>
      <c r="G81" s="32">
        <v>5.0990000000000002</v>
      </c>
      <c r="H81" s="33">
        <f>INDEX('Sac Özet'!$L$5:$L$199,MATCH($A81&amp;"",'Sac Özet'!$A$5:$A$199,0))</f>
        <v>6.4300272373179999</v>
      </c>
      <c r="I81" s="33">
        <f>INDEX('Sac Özet'!$M$5:$M$199,MATCH($A81&amp;"",'Sac Özet'!$A$5:$A$199,0))</f>
        <v>1.3311068373180004</v>
      </c>
      <c r="J81" s="34">
        <f>INDEX('Sac Özet'!$N$5:$N$199,MATCH($A81&amp;"",'Sac Özet'!$A$5:$A$199,0))</f>
        <v>4.7083868249139638</v>
      </c>
      <c r="K81" s="35">
        <f>SUMPRODUCT((--'Satınalma Parçaları'!$A$2:$A$107=--$A81)*'Satınalma Parçaları'!$L$2:$L$107)</f>
        <v>0</v>
      </c>
      <c r="L81" s="36">
        <f>J81+N(K81)</f>
        <v>4.7083868249139638</v>
      </c>
      <c r="M81" s="37">
        <f>AE81/100*Parametreler!$B$7</f>
        <v>1.081</v>
      </c>
      <c r="N81" s="37">
        <f>AF81/100*Parametreler!$B$8</f>
        <v>2.5824999999999996</v>
      </c>
      <c r="O81" s="37">
        <f>AG81/100*Parametreler!$B$9</f>
        <v>2.66</v>
      </c>
      <c r="P81" s="36">
        <f>SUM(M81:O81)</f>
        <v>6.3234999999999992</v>
      </c>
      <c r="Q81" s="38">
        <f>VLOOKUP($A81,'Yaş Boya Listesi'!$B$6:$L$131,11,FALSE())</f>
        <v>10</v>
      </c>
      <c r="R81" s="37">
        <f>IF(E81="Kataforez",N(Q81),IF(E81="Yaş boya",Parametreler!$B$10/MAX(1,ROUND(IF(ISNUMBER(Q81),Q81,Parametreler!$B$11),0)),0))</f>
        <v>8</v>
      </c>
      <c r="S81" s="36">
        <f>L81+P81+R81</f>
        <v>19.031886824913961</v>
      </c>
      <c r="T81" s="39">
        <f>IF(S81=0,0,L81/S81)</f>
        <v>0.24739464185707447</v>
      </c>
      <c r="U81" s="39">
        <f>IF(S81=0,0,P81/S81)</f>
        <v>0.33225817587997275</v>
      </c>
      <c r="V81" s="39">
        <f>IF(S81=0,0,R81/S81)</f>
        <v>0.42034718226295287</v>
      </c>
      <c r="W81" s="40">
        <f>SUM(AE81:AG81)/100*F81</f>
        <v>7.9043749999999999</v>
      </c>
      <c r="X81" s="37">
        <f>IF($G81=0,0,J81/$G81)</f>
        <v>0.92339416060285617</v>
      </c>
      <c r="Y81" s="37">
        <f>IF($G81=0,0,S81/$G81)</f>
        <v>3.7324743724090919</v>
      </c>
      <c r="Z81" s="41">
        <f>IF($G81=0,0,L81/$G81)</f>
        <v>0.92339416060285617</v>
      </c>
      <c r="AA81" s="36">
        <f>S81*Parametreler!$B$12</f>
        <v>27.215598159626964</v>
      </c>
      <c r="AB81" s="42">
        <f>AA81*F81</f>
        <v>680.38995399067414</v>
      </c>
      <c r="AC81" s="43"/>
      <c r="AD81" s="30" t="s">
        <v>91</v>
      </c>
      <c r="AE81" s="44">
        <f>INDEX('İşçilik Özet'!$W$6:$W$200,MATCH($A81&amp;"",'İşçilik Özet'!$A$6:$A$200,0))</f>
        <v>5.4049999999999994</v>
      </c>
      <c r="AF81" s="44">
        <f>INDEX('İşçilik Özet'!$X$6:$X$200,MATCH($A81&amp;"",'İşçilik Özet'!$A$6:$A$200,0))</f>
        <v>12.9125</v>
      </c>
      <c r="AG81" s="44">
        <f>INDEX('İşçilik Özet'!$Y$6:$Y$200,MATCH($A81&amp;"",'İşçilik Özet'!$A$6:$A$200,0))</f>
        <v>13.3</v>
      </c>
      <c r="AH81" s="45">
        <f>(L81+P81)*F81+IF(E81="Kataforez",N(Q81)*F81,IF(E81="Yaş boya",ROUNDUP(F81/MAX(1,ROUND(IF(ISNUMBER(Q81),Q81,Parametreler!$B$11),0)),0)*Parametreler!$B$10,0))</f>
        <v>515.79717062284908</v>
      </c>
    </row>
    <row r="82" spans="1:34" ht="15" customHeight="1" x14ac:dyDescent="0.25">
      <c r="A82" s="30">
        <v>1254954</v>
      </c>
      <c r="B82" s="30" t="s">
        <v>272</v>
      </c>
      <c r="C82" s="30" t="s">
        <v>99</v>
      </c>
      <c r="D82" s="30" t="s">
        <v>85</v>
      </c>
      <c r="E82" s="30" t="s">
        <v>124</v>
      </c>
      <c r="F82" s="31">
        <v>5</v>
      </c>
      <c r="G82" s="32">
        <v>52.161000000000001</v>
      </c>
      <c r="H82" s="33">
        <f>INDEX('Sac Özet'!$L$5:$L$199,MATCH($A82&amp;"",'Sac Özet'!$A$5:$A$199,0))</f>
        <v>98.918418339999988</v>
      </c>
      <c r="I82" s="33">
        <f>INDEX('Sac Özet'!$M$5:$M$199,MATCH($A82&amp;"",'Sac Özet'!$A$5:$A$199,0))</f>
        <v>46.773443139999991</v>
      </c>
      <c r="J82" s="34">
        <f>INDEX('Sac Özet'!$N$5:$N$199,MATCH($A82&amp;"",'Sac Özet'!$A$5:$A$199,0))</f>
        <v>63.827062371636366</v>
      </c>
      <c r="K82" s="35">
        <f>SUMPRODUCT((--'Satınalma Parçaları'!$A$2:$A$107=--$A82)*'Satınalma Parçaları'!$L$2:$L$107)</f>
        <v>9.3818181818181995E-2</v>
      </c>
      <c r="L82" s="36">
        <f>J82+N(K82)</f>
        <v>63.920880553454545</v>
      </c>
      <c r="M82" s="37">
        <f>AE82/100*Parametreler!$B$7</f>
        <v>9.6024999999999991</v>
      </c>
      <c r="N82" s="37">
        <f>AF82/100*Parametreler!$B$8</f>
        <v>11.25</v>
      </c>
      <c r="O82" s="37">
        <f>AG82/100*Parametreler!$B$9</f>
        <v>13.5762</v>
      </c>
      <c r="P82" s="36">
        <f>SUM(M82:O82)</f>
        <v>34.428699999999999</v>
      </c>
      <c r="Q82" s="47"/>
      <c r="R82" s="37">
        <f>IF(E82="Kataforez",N(Q82),IF(E82="Yaş boya",Parametreler!$B$10/MAX(1,ROUND(IF(ISNUMBER(Q82),Q82,Parametreler!$B$11),0)),0))</f>
        <v>0</v>
      </c>
      <c r="S82" s="36">
        <f>L82+P82+R82</f>
        <v>98.349580553454544</v>
      </c>
      <c r="T82" s="39">
        <f>IF(S82=0,0,L82/S82)</f>
        <v>0.64993546686976</v>
      </c>
      <c r="U82" s="39">
        <f>IF(S82=0,0,P82/S82)</f>
        <v>0.35006453313024005</v>
      </c>
      <c r="V82" s="39">
        <f>IF(S82=0,0,R82/S82)</f>
        <v>0</v>
      </c>
      <c r="W82" s="40">
        <f>SUM(AE82:AG82)/100*F82</f>
        <v>8.6071749999999998</v>
      </c>
      <c r="X82" s="37">
        <f>IF($G82=0,0,J82/$G82)</f>
        <v>1.2236548833733318</v>
      </c>
      <c r="Y82" s="37">
        <f>IF($G82=0,0,S82/$G82)</f>
        <v>1.8855002885959729</v>
      </c>
      <c r="Z82" s="41">
        <f>IF($G82=0,0,L82/$G82)</f>
        <v>1.2254535103516908</v>
      </c>
      <c r="AA82" s="36">
        <f>S82*Parametreler!$B$12</f>
        <v>140.63990019144001</v>
      </c>
      <c r="AB82" s="42">
        <f>AA82*F82</f>
        <v>703.19950095720003</v>
      </c>
      <c r="AC82" s="43" t="s">
        <v>273</v>
      </c>
      <c r="AD82" s="30" t="s">
        <v>182</v>
      </c>
      <c r="AE82" s="44">
        <f>INDEX('İşçilik Özet'!$W$6:$W$200,MATCH($A82&amp;"",'İşçilik Özet'!$A$6:$A$200,0))</f>
        <v>48.012499999999996</v>
      </c>
      <c r="AF82" s="44">
        <f>INDEX('İşçilik Özet'!$X$6:$X$200,MATCH($A82&amp;"",'İşçilik Özet'!$A$6:$A$200,0))</f>
        <v>56.25</v>
      </c>
      <c r="AG82" s="44">
        <f>INDEX('İşçilik Özet'!$Y$6:$Y$200,MATCH($A82&amp;"",'İşçilik Özet'!$A$6:$A$200,0))</f>
        <v>67.881</v>
      </c>
      <c r="AH82" s="45">
        <f>(L82+P82)*F82+IF(E82="Kataforez",N(Q82)*F82,IF(E82="Yaş boya",ROUNDUP(F82/MAX(1,ROUND(IF(ISNUMBER(Q82),Q82,Parametreler!$B$11),0)),0)*Parametreler!$B$10,0))</f>
        <v>491.74790276727271</v>
      </c>
    </row>
    <row r="83" spans="1:34" ht="15" customHeight="1" x14ac:dyDescent="0.25">
      <c r="A83" s="30">
        <v>103113</v>
      </c>
      <c r="B83" s="30" t="s">
        <v>234</v>
      </c>
      <c r="C83" s="30" t="s">
        <v>194</v>
      </c>
      <c r="D83" s="30" t="s">
        <v>85</v>
      </c>
      <c r="E83" s="30" t="s">
        <v>86</v>
      </c>
      <c r="F83" s="31">
        <v>10</v>
      </c>
      <c r="G83" s="32">
        <v>21.646000000000001</v>
      </c>
      <c r="H83" s="33">
        <f>INDEX('Sac Özet'!$L$5:$L$199,MATCH($A83&amp;"",'Sac Özet'!$A$5:$A$199,0))</f>
        <v>27.985760249999998</v>
      </c>
      <c r="I83" s="33">
        <f>INDEX('Sac Özet'!$M$5:$M$199,MATCH($A83&amp;"",'Sac Özet'!$A$5:$A$199,0))</f>
        <v>6.3354916500000016</v>
      </c>
      <c r="J83" s="34">
        <f>INDEX('Sac Özet'!$N$5:$N$199,MATCH($A83&amp;"",'Sac Özet'!$A$5:$A$199,0))</f>
        <v>20.31517456909091</v>
      </c>
      <c r="K83" s="35">
        <f>SUMPRODUCT((--'Satınalma Parçaları'!$A$2:$A$107=--$A83)*'Satınalma Parçaları'!$L$2:$L$107)</f>
        <v>0</v>
      </c>
      <c r="L83" s="36">
        <f>J83+N(K83)</f>
        <v>20.31517456909091</v>
      </c>
      <c r="M83" s="37">
        <f>AE83/100*Parametreler!$B$7</f>
        <v>0</v>
      </c>
      <c r="N83" s="37">
        <f>AF83/100*Parametreler!$B$8</f>
        <v>2.0825</v>
      </c>
      <c r="O83" s="37">
        <f>AG83/100*Parametreler!$B$9</f>
        <v>3.9588000000000001</v>
      </c>
      <c r="P83" s="36">
        <f>SUM(M83:O83)</f>
        <v>6.0412999999999997</v>
      </c>
      <c r="Q83" s="38">
        <f>VLOOKUP($A83,'Yaş Boya Listesi'!$B$6:$L$131,11,FALSE())</f>
        <v>4</v>
      </c>
      <c r="R83" s="37">
        <f>IF(E83="Kataforez",N(Q83),IF(E83="Yaş boya",Parametreler!$B$10/MAX(1,ROUND(IF(ISNUMBER(Q83),Q83,Parametreler!$B$11),0)),0))</f>
        <v>20</v>
      </c>
      <c r="S83" s="36">
        <f>L83+P83+R83</f>
        <v>46.356474569090906</v>
      </c>
      <c r="T83" s="39">
        <f>IF(S83=0,0,L83/S83)</f>
        <v>0.43823812656013433</v>
      </c>
      <c r="U83" s="39">
        <f>IF(S83=0,0,P83/S83)</f>
        <v>0.13032267997420485</v>
      </c>
      <c r="V83" s="39">
        <f>IF(S83=0,0,R83/S83)</f>
        <v>0.4314391934656609</v>
      </c>
      <c r="W83" s="40">
        <f>SUM(AE83:AG83)/100*F83</f>
        <v>3.0206499999999998</v>
      </c>
      <c r="X83" s="37">
        <f>IF($G83=0,0,J83/$G83)</f>
        <v>0.93851864404928897</v>
      </c>
      <c r="Y83" s="37">
        <f>IF($G83=0,0,S83/$G83)</f>
        <v>2.1415723260228634</v>
      </c>
      <c r="Z83" s="41">
        <f>IF($G83=0,0,L83/$G83)</f>
        <v>0.93851864404928897</v>
      </c>
      <c r="AA83" s="36">
        <f>S83*Parametreler!$B$12</f>
        <v>66.289758633799991</v>
      </c>
      <c r="AB83" s="42">
        <f>AA83*F83</f>
        <v>662.89758633799988</v>
      </c>
      <c r="AC83" s="43"/>
      <c r="AD83" s="30"/>
      <c r="AE83" s="44">
        <f>INDEX('İşçilik Özet'!$W$6:$W$200,MATCH($A83&amp;"",'İşçilik Özet'!$A$6:$A$200,0))</f>
        <v>0</v>
      </c>
      <c r="AF83" s="44">
        <f>INDEX('İşçilik Özet'!$X$6:$X$200,MATCH($A83&amp;"",'İşçilik Özet'!$A$6:$A$200,0))</f>
        <v>10.4125</v>
      </c>
      <c r="AG83" s="44">
        <f>INDEX('İşçilik Özet'!$Y$6:$Y$200,MATCH($A83&amp;"",'İşçilik Özet'!$A$6:$A$200,0))</f>
        <v>19.794</v>
      </c>
      <c r="AH83" s="45">
        <f>(L83+P83)*F83+IF(E83="Kataforez",N(Q83)*F83,IF(E83="Yaş boya",ROUNDUP(F83/MAX(1,ROUND(IF(ISNUMBER(Q83),Q83,Parametreler!$B$11),0)),0)*Parametreler!$B$10,0))</f>
        <v>503.56474569090909</v>
      </c>
    </row>
    <row r="84" spans="1:34" ht="15" customHeight="1" x14ac:dyDescent="0.25">
      <c r="A84" s="30">
        <v>543414</v>
      </c>
      <c r="B84" s="30" t="s">
        <v>200</v>
      </c>
      <c r="C84" s="30" t="s">
        <v>139</v>
      </c>
      <c r="D84" s="30" t="s">
        <v>23</v>
      </c>
      <c r="E84" s="30" t="s">
        <v>86</v>
      </c>
      <c r="F84" s="31">
        <v>56</v>
      </c>
      <c r="G84" s="32">
        <v>0.80900000000000005</v>
      </c>
      <c r="H84" s="33">
        <f>INDEX('Sac Özet'!$L$5:$L$199,MATCH($A84&amp;"",'Sac Özet'!$A$5:$A$199,0))</f>
        <v>0.47438890243902432</v>
      </c>
      <c r="I84" s="33">
        <f>INDEX('Sac Özet'!$M$5:$M$199,MATCH($A84&amp;"",'Sac Özet'!$A$5:$A$199,0))</f>
        <v>8.5390002439024323E-2</v>
      </c>
      <c r="J84" s="34">
        <f>INDEX('Sac Özet'!$N$5:$N$199,MATCH($A84&amp;"",'Sac Özet'!$A$5:$A$199,0))</f>
        <v>0.35156530297117511</v>
      </c>
      <c r="K84" s="35">
        <f>SUMPRODUCT((--'Satınalma Parçaları'!$A$2:$A$107=--$A84)*'Satınalma Parçaları'!$L$2:$L$107)</f>
        <v>0.4</v>
      </c>
      <c r="L84" s="36">
        <f>J84+N(K84)</f>
        <v>0.75156530297117508</v>
      </c>
      <c r="M84" s="37">
        <f>AE84/100*Parametreler!$B$7</f>
        <v>0</v>
      </c>
      <c r="N84" s="37">
        <f>AF84/100*Parametreler!$B$8</f>
        <v>2.0825</v>
      </c>
      <c r="O84" s="37">
        <f>AG84/100*Parametreler!$B$9</f>
        <v>0.8620000000000001</v>
      </c>
      <c r="P84" s="36">
        <f>SUM(M84:O84)</f>
        <v>2.9445000000000001</v>
      </c>
      <c r="Q84" s="38">
        <f>VLOOKUP($A84,'Yaş Boya Listesi'!$B$6:$L$131,11,FALSE())</f>
        <v>20</v>
      </c>
      <c r="R84" s="37">
        <f>IF(E84="Kataforez",N(Q84),IF(E84="Yaş boya",Parametreler!$B$10/MAX(1,ROUND(IF(ISNUMBER(Q84),Q84,Parametreler!$B$11),0)),0))</f>
        <v>4</v>
      </c>
      <c r="S84" s="36">
        <f>L84+P84+R84</f>
        <v>7.6960653029711752</v>
      </c>
      <c r="T84" s="39">
        <f>IF(S84=0,0,L84/S84)</f>
        <v>9.7655785571494902E-2</v>
      </c>
      <c r="U84" s="39">
        <f>IF(S84=0,0,P84/S84)</f>
        <v>0.38259810488656248</v>
      </c>
      <c r="V84" s="39">
        <f>IF(S84=0,0,R84/S84)</f>
        <v>0.51974610954194256</v>
      </c>
      <c r="W84" s="40">
        <f>SUM(AE84:AG84)/100*F84</f>
        <v>8.2446000000000002</v>
      </c>
      <c r="X84" s="37">
        <f>IF($G84=0,0,J84/$G84)</f>
        <v>0.43456774162073558</v>
      </c>
      <c r="Y84" s="37">
        <f>IF($G84=0,0,S84/$G84)</f>
        <v>9.5130597070101039</v>
      </c>
      <c r="Z84" s="41">
        <f>IF($G84=0,0,L84/$G84)</f>
        <v>0.92900531887660698</v>
      </c>
      <c r="AA84" s="36">
        <f>S84*Parametreler!$B$12</f>
        <v>11.005373383248781</v>
      </c>
      <c r="AB84" s="42">
        <f>AA84*F84</f>
        <v>616.30090946193172</v>
      </c>
      <c r="AC84" s="43" t="s">
        <v>201</v>
      </c>
      <c r="AD84" s="30" t="s">
        <v>96</v>
      </c>
      <c r="AE84" s="44">
        <f>INDEX('İşçilik Özet'!$W$6:$W$200,MATCH($A84&amp;"",'İşçilik Özet'!$A$6:$A$200,0))</f>
        <v>0</v>
      </c>
      <c r="AF84" s="44">
        <f>INDEX('İşçilik Özet'!$X$6:$X$200,MATCH($A84&amp;"",'İşçilik Özet'!$A$6:$A$200,0))</f>
        <v>10.4125</v>
      </c>
      <c r="AG84" s="44">
        <f>INDEX('İşçilik Özet'!$Y$6:$Y$200,MATCH($A84&amp;"",'İşçilik Özet'!$A$6:$A$200,0))</f>
        <v>4.3100000000000005</v>
      </c>
      <c r="AH84" s="45">
        <f>(L84+P84)*F84+IF(E84="Kataforez",N(Q84)*F84,IF(E84="Yaş boya",ROUNDUP(F84/MAX(1,ROUND(IF(ISNUMBER(Q84),Q84,Parametreler!$B$11),0)),0)*Parametreler!$B$10,0))</f>
        <v>446.97965696638585</v>
      </c>
    </row>
    <row r="85" spans="1:34" ht="15" customHeight="1" x14ac:dyDescent="0.25">
      <c r="A85" s="30">
        <v>108027</v>
      </c>
      <c r="B85" s="30" t="s">
        <v>207</v>
      </c>
      <c r="C85" s="30" t="s">
        <v>117</v>
      </c>
      <c r="D85" s="30" t="s">
        <v>85</v>
      </c>
      <c r="E85" s="30" t="s">
        <v>86</v>
      </c>
      <c r="F85" s="31">
        <v>16</v>
      </c>
      <c r="G85" s="32">
        <v>8.0739999999999998</v>
      </c>
      <c r="H85" s="33">
        <f>INDEX('Sac Özet'!$L$5:$L$199,MATCH($A85&amp;"",'Sac Özet'!$A$5:$A$199,0))</f>
        <v>8.7981657039999988</v>
      </c>
      <c r="I85" s="33">
        <f>INDEX('Sac Özet'!$M$5:$M$199,MATCH($A85&amp;"",'Sac Özet'!$A$5:$A$199,0))</f>
        <v>0.59796150399999992</v>
      </c>
      <c r="J85" s="34">
        <f>INDEX('Sac Özet'!$N$5:$N$199,MATCH($A85&amp;"",'Sac Özet'!$A$5:$A$199,0))</f>
        <v>6.8428360709818188</v>
      </c>
      <c r="K85" s="35">
        <f>SUMPRODUCT((--'Satınalma Parçaları'!$A$2:$A$107=--$A85)*'Satınalma Parçaları'!$L$2:$L$107)</f>
        <v>0</v>
      </c>
      <c r="L85" s="36">
        <f>J85+N(K85)</f>
        <v>6.8428360709818188</v>
      </c>
      <c r="M85" s="37">
        <f>AE85/100*Parametreler!$B$7</f>
        <v>0</v>
      </c>
      <c r="N85" s="37">
        <f>AF85/100*Parametreler!$B$8</f>
        <v>3.0824999999999996</v>
      </c>
      <c r="O85" s="37">
        <f>AG85/100*Parametreler!$B$9</f>
        <v>4.2363999999999997</v>
      </c>
      <c r="P85" s="36">
        <f>SUM(M85:O85)</f>
        <v>7.3188999999999993</v>
      </c>
      <c r="Q85" s="38">
        <f>VLOOKUP($A85,'Yaş Boya Listesi'!$B$6:$L$131,11,FALSE())</f>
        <v>6</v>
      </c>
      <c r="R85" s="37">
        <f>IF(E85="Kataforez",N(Q85),IF(E85="Yaş boya",Parametreler!$B$10/MAX(1,ROUND(IF(ISNUMBER(Q85),Q85,Parametreler!$B$11),0)),0))</f>
        <v>13.333333333333334</v>
      </c>
      <c r="S85" s="36">
        <f>L85+P85+R85</f>
        <v>27.495069404315153</v>
      </c>
      <c r="T85" s="39">
        <f>IF(S85=0,0,L85/S85)</f>
        <v>0.2488750244764934</v>
      </c>
      <c r="U85" s="39">
        <f>IF(S85=0,0,P85/S85)</f>
        <v>0.26618954447343024</v>
      </c>
      <c r="V85" s="39">
        <f>IF(S85=0,0,R85/S85)</f>
        <v>0.4849354310500763</v>
      </c>
      <c r="W85" s="40">
        <f>SUM(AE85:AG85)/100*F85</f>
        <v>5.8551199999999994</v>
      </c>
      <c r="X85" s="37">
        <f>IF($G85=0,0,J85/$G85)</f>
        <v>0.84751499516742868</v>
      </c>
      <c r="Y85" s="37">
        <f>IF($G85=0,0,S85/$G85)</f>
        <v>3.4053838746984337</v>
      </c>
      <c r="Z85" s="41">
        <f>IF($G85=0,0,L85/$G85)</f>
        <v>0.84751499516742868</v>
      </c>
      <c r="AA85" s="36">
        <f>S85*Parametreler!$B$12</f>
        <v>39.31794924817067</v>
      </c>
      <c r="AB85" s="42">
        <f>AA85*F85</f>
        <v>629.08718797073072</v>
      </c>
      <c r="AC85" s="43"/>
      <c r="AD85" s="30"/>
      <c r="AE85" s="44">
        <f>INDEX('İşçilik Özet'!$W$6:$W$200,MATCH($A85&amp;"",'İşçilik Özet'!$A$6:$A$200,0))</f>
        <v>0</v>
      </c>
      <c r="AF85" s="44">
        <f>INDEX('İşçilik Özet'!$X$6:$X$200,MATCH($A85&amp;"",'İşçilik Özet'!$A$6:$A$200,0))</f>
        <v>15.4125</v>
      </c>
      <c r="AG85" s="44">
        <f>INDEX('İşçilik Özet'!$Y$6:$Y$200,MATCH($A85&amp;"",'İşçilik Özet'!$A$6:$A$200,0))</f>
        <v>21.181999999999999</v>
      </c>
      <c r="AH85" s="45">
        <f>(L85+P85)*F85+IF(E85="Kataforez",N(Q85)*F85,IF(E85="Yaş boya",ROUNDUP(F85/MAX(1,ROUND(IF(ISNUMBER(Q85),Q85,Parametreler!$B$11),0)),0)*Parametreler!$B$10,0))</f>
        <v>466.58777713570908</v>
      </c>
    </row>
    <row r="86" spans="1:34" ht="15" customHeight="1" x14ac:dyDescent="0.25">
      <c r="A86" s="30">
        <v>105774</v>
      </c>
      <c r="B86" s="30" t="s">
        <v>215</v>
      </c>
      <c r="C86" s="30" t="s">
        <v>216</v>
      </c>
      <c r="D86" s="30" t="s">
        <v>85</v>
      </c>
      <c r="E86" s="30" t="s">
        <v>86</v>
      </c>
      <c r="F86" s="31">
        <v>5</v>
      </c>
      <c r="G86" s="32">
        <v>30.943000000000001</v>
      </c>
      <c r="H86" s="33">
        <f>INDEX('Sac Özet'!$L$5:$L$199,MATCH($A86&amp;"",'Sac Özet'!$A$5:$A$199,0))</f>
        <v>40.495991249999989</v>
      </c>
      <c r="I86" s="33">
        <f>INDEX('Sac Özet'!$M$5:$M$199,MATCH($A86&amp;"",'Sac Özet'!$A$5:$A$199,0))</f>
        <v>9.5102749999999983</v>
      </c>
      <c r="J86" s="34">
        <f>INDEX('Sac Özet'!$N$5:$N$199,MATCH($A86&amp;"",'Sac Özet'!$A$5:$A$199,0))</f>
        <v>29.284339363636366</v>
      </c>
      <c r="K86" s="35">
        <f>SUMPRODUCT((--'Satınalma Parçaları'!$A$2:$A$107=--$A86)*'Satınalma Parçaları'!$L$2:$L$107)</f>
        <v>0</v>
      </c>
      <c r="L86" s="36">
        <f>J86+N(K86)</f>
        <v>29.284339363636366</v>
      </c>
      <c r="M86" s="37">
        <f>AE86/100*Parametreler!$B$7</f>
        <v>4.2895000000000003</v>
      </c>
      <c r="N86" s="37">
        <f>AF86/100*Parametreler!$B$8</f>
        <v>9</v>
      </c>
      <c r="O86" s="37">
        <f>AG86/100*Parametreler!$B$9</f>
        <v>5.9743999999999993</v>
      </c>
      <c r="P86" s="36">
        <f>SUM(M86:O86)</f>
        <v>19.2639</v>
      </c>
      <c r="Q86" s="38">
        <f>VLOOKUP($A86,'Yaş Boya Listesi'!$B$6:$L$131,11,FALSE())</f>
        <v>2</v>
      </c>
      <c r="R86" s="37">
        <f>IF(E86="Kataforez",N(Q86),IF(E86="Yaş boya",Parametreler!$B$10/MAX(1,ROUND(IF(ISNUMBER(Q86),Q86,Parametreler!$B$11),0)),0))</f>
        <v>40</v>
      </c>
      <c r="S86" s="36">
        <f>L86+P86+R86</f>
        <v>88.54823936363637</v>
      </c>
      <c r="T86" s="39">
        <f>IF(S86=0,0,L86/S86)</f>
        <v>0.33071622399374784</v>
      </c>
      <c r="U86" s="39">
        <f>IF(S86=0,0,P86/S86)</f>
        <v>0.2175526033994867</v>
      </c>
      <c r="V86" s="39">
        <f>IF(S86=0,0,R86/S86)</f>
        <v>0.45173117260676543</v>
      </c>
      <c r="W86" s="40">
        <f>SUM(AE86:AG86)/100*F86</f>
        <v>4.8159749999999999</v>
      </c>
      <c r="X86" s="37">
        <f>IF($G86=0,0,J86/$G86)</f>
        <v>0.94639625645982506</v>
      </c>
      <c r="Y86" s="37">
        <f>IF($G86=0,0,S86/$G86)</f>
        <v>2.8616565738175472</v>
      </c>
      <c r="Z86" s="41">
        <f>IF($G86=0,0,L86/$G86)</f>
        <v>0.94639625645982506</v>
      </c>
      <c r="AA86" s="36">
        <f>S86*Parametreler!$B$12</f>
        <v>126.62398229</v>
      </c>
      <c r="AB86" s="42">
        <f>AA86*F86</f>
        <v>633.11991145000002</v>
      </c>
      <c r="AC86" s="43"/>
      <c r="AD86" s="30"/>
      <c r="AE86" s="44">
        <f>INDEX('İşçilik Özet'!$W$6:$W$200,MATCH($A86&amp;"",'İşçilik Özet'!$A$6:$A$200,0))</f>
        <v>21.447500000000002</v>
      </c>
      <c r="AF86" s="44">
        <f>INDEX('İşçilik Özet'!$X$6:$X$200,MATCH($A86&amp;"",'İşçilik Özet'!$A$6:$A$200,0))</f>
        <v>45</v>
      </c>
      <c r="AG86" s="44">
        <f>INDEX('İşçilik Özet'!$Y$6:$Y$200,MATCH($A86&amp;"",'İşçilik Özet'!$A$6:$A$200,0))</f>
        <v>29.872</v>
      </c>
      <c r="AH86" s="45">
        <f>(L86+P86)*F86+IF(E86="Kataforez",N(Q86)*F86,IF(E86="Yaş boya",ROUNDUP(F86/MAX(1,ROUND(IF(ISNUMBER(Q86),Q86,Parametreler!$B$11),0)),0)*Parametreler!$B$10,0))</f>
        <v>482.74119681818183</v>
      </c>
    </row>
    <row r="87" spans="1:34" ht="15" customHeight="1" x14ac:dyDescent="0.25">
      <c r="A87" s="30">
        <v>1091740</v>
      </c>
      <c r="B87" s="30" t="s">
        <v>241</v>
      </c>
      <c r="C87" s="30" t="s">
        <v>130</v>
      </c>
      <c r="D87" s="30" t="s">
        <v>23</v>
      </c>
      <c r="E87" s="30" t="s">
        <v>124</v>
      </c>
      <c r="F87" s="31">
        <v>50</v>
      </c>
      <c r="G87" s="32">
        <v>5.056</v>
      </c>
      <c r="H87" s="33">
        <f>INDEX('Sac Özet'!$L$5:$L$199,MATCH($A87&amp;"",'Sac Özet'!$A$5:$A$199,0))</f>
        <v>6.1657920731707305</v>
      </c>
      <c r="I87" s="33">
        <f>INDEX('Sac Özet'!$M$5:$M$199,MATCH($A87&amp;"",'Sac Özet'!$A$5:$A$199,0))</f>
        <v>1.1098425731707309</v>
      </c>
      <c r="J87" s="34">
        <f>INDEX('Sac Özet'!$N$5:$N$199,MATCH($A87&amp;"",'Sac Özet'!$A$5:$A$199,0))</f>
        <v>4.5694124527716191</v>
      </c>
      <c r="K87" s="35">
        <f>SUMPRODUCT((--'Satınalma Parçaları'!$A$2:$A$107=--$A87)*'Satınalma Parçaları'!$L$2:$L$107)</f>
        <v>0</v>
      </c>
      <c r="L87" s="36">
        <f>J87+N(K87)</f>
        <v>4.5694124527716191</v>
      </c>
      <c r="M87" s="37">
        <f>AE87/100*Parametreler!$B$7</f>
        <v>0</v>
      </c>
      <c r="N87" s="37">
        <f>AF87/100*Parametreler!$B$8</f>
        <v>2.5824999999999996</v>
      </c>
      <c r="O87" s="37">
        <f>AG87/100*Parametreler!$B$9</f>
        <v>1.4272</v>
      </c>
      <c r="P87" s="36">
        <f>SUM(M87:O87)</f>
        <v>4.0096999999999996</v>
      </c>
      <c r="Q87" s="47"/>
      <c r="R87" s="37">
        <f>IF(E87="Kataforez",N(Q87),IF(E87="Yaş boya",Parametreler!$B$10/MAX(1,ROUND(IF(ISNUMBER(Q87),Q87,Parametreler!$B$11),0)),0))</f>
        <v>0</v>
      </c>
      <c r="S87" s="36">
        <f>L87+P87+R87</f>
        <v>8.5791124527716178</v>
      </c>
      <c r="T87" s="39">
        <f>IF(S87=0,0,L87/S87)</f>
        <v>0.53262065020436911</v>
      </c>
      <c r="U87" s="39">
        <f>IF(S87=0,0,P87/S87)</f>
        <v>0.46737934979563095</v>
      </c>
      <c r="V87" s="39">
        <f>IF(S87=0,0,R87/S87)</f>
        <v>0</v>
      </c>
      <c r="W87" s="40">
        <f>SUM(AE87:AG87)/100*F87</f>
        <v>10.02425</v>
      </c>
      <c r="X87" s="37">
        <f>IF($G87=0,0,J87/$G87)</f>
        <v>0.90376037436147527</v>
      </c>
      <c r="Y87" s="37">
        <f>IF($G87=0,0,S87/$G87)</f>
        <v>1.6968181275260319</v>
      </c>
      <c r="Z87" s="41">
        <f>IF($G87=0,0,L87/$G87)</f>
        <v>0.90376037436147527</v>
      </c>
      <c r="AA87" s="36">
        <f>S87*Parametreler!$B$12</f>
        <v>12.268130807463413</v>
      </c>
      <c r="AB87" s="42">
        <f>AA87*F87</f>
        <v>613.40654037317063</v>
      </c>
      <c r="AC87" s="43"/>
      <c r="AD87" s="30" t="s">
        <v>91</v>
      </c>
      <c r="AE87" s="44">
        <f>INDEX('İşçilik Özet'!$W$6:$W$200,MATCH($A87&amp;"",'İşçilik Özet'!$A$6:$A$200,0))</f>
        <v>0</v>
      </c>
      <c r="AF87" s="44">
        <f>INDEX('İşçilik Özet'!$X$6:$X$200,MATCH($A87&amp;"",'İşçilik Özet'!$A$6:$A$200,0))</f>
        <v>12.9125</v>
      </c>
      <c r="AG87" s="44">
        <f>INDEX('İşçilik Özet'!$Y$6:$Y$200,MATCH($A87&amp;"",'İşçilik Özet'!$A$6:$A$200,0))</f>
        <v>7.1360000000000001</v>
      </c>
      <c r="AH87" s="45">
        <f>(L87+P87)*F87+IF(E87="Kataforez",N(Q87)*F87,IF(E87="Yaş boya",ROUNDUP(F87/MAX(1,ROUND(IF(ISNUMBER(Q87),Q87,Parametreler!$B$11),0)),0)*Parametreler!$B$10,0))</f>
        <v>428.95562263858091</v>
      </c>
    </row>
    <row r="88" spans="1:34" ht="15" customHeight="1" x14ac:dyDescent="0.25">
      <c r="A88" s="30">
        <v>553127</v>
      </c>
      <c r="B88" s="30" t="s">
        <v>198</v>
      </c>
      <c r="C88" s="30" t="s">
        <v>139</v>
      </c>
      <c r="D88" s="30" t="s">
        <v>23</v>
      </c>
      <c r="E88" s="30" t="s">
        <v>86</v>
      </c>
      <c r="F88" s="31">
        <v>47</v>
      </c>
      <c r="G88" s="32">
        <v>0.68600000000000005</v>
      </c>
      <c r="H88" s="33">
        <f>INDEX('Sac Özet'!$L$5:$L$199,MATCH($A88&amp;"",'Sac Özet'!$A$5:$A$199,0))</f>
        <v>0.83659939024390229</v>
      </c>
      <c r="I88" s="33">
        <f>INDEX('Sac Özet'!$M$5:$M$199,MATCH($A88&amp;"",'Sac Özet'!$A$5:$A$199,0))</f>
        <v>0.15058789024390237</v>
      </c>
      <c r="J88" s="34">
        <f>INDEX('Sac Özet'!$N$5:$N$199,MATCH($A88&amp;"",'Sac Özet'!$A$5:$A$199,0))</f>
        <v>0.61999620266075384</v>
      </c>
      <c r="K88" s="35">
        <f>SUMPRODUCT((--'Satınalma Parçaları'!$A$2:$A$107=--$A88)*'Satınalma Parçaları'!$L$2:$L$107)</f>
        <v>0</v>
      </c>
      <c r="L88" s="36">
        <f>J88+N(K88)</f>
        <v>0.61999620266075384</v>
      </c>
      <c r="M88" s="37">
        <f>AE88/100*Parametreler!$B$7</f>
        <v>0</v>
      </c>
      <c r="N88" s="37">
        <f>AF88/100*Parametreler!$B$8</f>
        <v>2.5824999999999996</v>
      </c>
      <c r="O88" s="37">
        <f>AG88/100*Parametreler!$B$9</f>
        <v>0.96799999999999997</v>
      </c>
      <c r="P88" s="36">
        <f>SUM(M88:O88)</f>
        <v>3.5504999999999995</v>
      </c>
      <c r="Q88" s="38">
        <f>VLOOKUP($A88,'Yaş Boya Listesi'!$B$6:$L$131,11,FALSE())</f>
        <v>20</v>
      </c>
      <c r="R88" s="37">
        <f>IF(E88="Kataforez",N(Q88),IF(E88="Yaş boya",Parametreler!$B$10/MAX(1,ROUND(IF(ISNUMBER(Q88),Q88,Parametreler!$B$11),0)),0))</f>
        <v>4</v>
      </c>
      <c r="S88" s="36">
        <f>L88+P88+R88</f>
        <v>8.1704962026607539</v>
      </c>
      <c r="T88" s="39">
        <f>IF(S88=0,0,L88/S88)</f>
        <v>7.5882319418843824E-2</v>
      </c>
      <c r="U88" s="39">
        <f>IF(S88=0,0,P88/S88)</f>
        <v>0.43455133102488502</v>
      </c>
      <c r="V88" s="39">
        <f>IF(S88=0,0,R88/S88)</f>
        <v>0.48956634955627104</v>
      </c>
      <c r="W88" s="40">
        <f>SUM(AE88:AG88)/100*F88</f>
        <v>8.3436749999999993</v>
      </c>
      <c r="X88" s="37">
        <f>IF($G88=0,0,J88/$G88)</f>
        <v>0.90378455198360608</v>
      </c>
      <c r="Y88" s="37">
        <f>IF($G88=0,0,S88/$G88)</f>
        <v>11.910344318747454</v>
      </c>
      <c r="Z88" s="41">
        <f>IF($G88=0,0,L88/$G88)</f>
        <v>0.90378455198360608</v>
      </c>
      <c r="AA88" s="36">
        <f>S88*Parametreler!$B$12</f>
        <v>11.683809569804877</v>
      </c>
      <c r="AB88" s="42">
        <f>AA88*F88</f>
        <v>549.13904978082928</v>
      </c>
      <c r="AC88" s="43"/>
      <c r="AD88" s="30" t="s">
        <v>91</v>
      </c>
      <c r="AE88" s="44">
        <f>INDEX('İşçilik Özet'!$W$6:$W$200,MATCH($A88&amp;"",'İşçilik Özet'!$A$6:$A$200,0))</f>
        <v>0</v>
      </c>
      <c r="AF88" s="44">
        <f>INDEX('İşçilik Özet'!$X$6:$X$200,MATCH($A88&amp;"",'İşçilik Özet'!$A$6:$A$200,0))</f>
        <v>12.9125</v>
      </c>
      <c r="AG88" s="44">
        <f>INDEX('İşçilik Özet'!$Y$6:$Y$200,MATCH($A88&amp;"",'İşçilik Özet'!$A$6:$A$200,0))</f>
        <v>4.84</v>
      </c>
      <c r="AH88" s="45">
        <f>(L88+P88)*F88+IF(E88="Kataforez",N(Q88)*F88,IF(E88="Yaş boya",ROUNDUP(F88/MAX(1,ROUND(IF(ISNUMBER(Q88),Q88,Parametreler!$B$11),0)),0)*Parametreler!$B$10,0))</f>
        <v>436.0133215250554</v>
      </c>
    </row>
    <row r="89" spans="1:34" ht="15" customHeight="1" x14ac:dyDescent="0.25">
      <c r="A89" s="30">
        <v>1162215</v>
      </c>
      <c r="B89" s="30" t="s">
        <v>253</v>
      </c>
      <c r="C89" s="30" t="s">
        <v>99</v>
      </c>
      <c r="D89" s="30" t="s">
        <v>23</v>
      </c>
      <c r="E89" s="30" t="s">
        <v>124</v>
      </c>
      <c r="F89" s="31">
        <v>48</v>
      </c>
      <c r="G89" s="32">
        <v>4.0270000000000001</v>
      </c>
      <c r="H89" s="33">
        <f>INDEX('Sac Özet'!$L$5:$L$199,MATCH($A89&amp;"",'Sac Özet'!$A$5:$A$199,0))</f>
        <v>4.9110365853658537</v>
      </c>
      <c r="I89" s="33">
        <f>INDEX('Sac Özet'!$M$5:$M$199,MATCH($A89&amp;"",'Sac Özet'!$A$5:$A$199,0))</f>
        <v>0.88398658536585317</v>
      </c>
      <c r="J89" s="34">
        <f>INDEX('Sac Özet'!$N$5:$N$199,MATCH($A89&amp;"",'Sac Özet'!$A$5:$A$199,0))</f>
        <v>3.639524567627495</v>
      </c>
      <c r="K89" s="35">
        <f>SUMPRODUCT((--'Satınalma Parçaları'!$A$2:$A$107=--$A89)*'Satınalma Parçaları'!$L$2:$L$107)</f>
        <v>0</v>
      </c>
      <c r="L89" s="36">
        <f>J89+N(K89)</f>
        <v>3.639524567627495</v>
      </c>
      <c r="M89" s="37">
        <f>AE89/100*Parametreler!$B$7</f>
        <v>0</v>
      </c>
      <c r="N89" s="37">
        <f>AF89/100*Parametreler!$B$8</f>
        <v>2.5824999999999996</v>
      </c>
      <c r="O89" s="37">
        <f>AG89/100*Parametreler!$B$9</f>
        <v>1.36</v>
      </c>
      <c r="P89" s="36">
        <f>SUM(M89:O89)</f>
        <v>3.9424999999999999</v>
      </c>
      <c r="Q89" s="47"/>
      <c r="R89" s="37">
        <f>IF(E89="Kataforez",N(Q89),IF(E89="Yaş boya",Parametreler!$B$10/MAX(1,ROUND(IF(ISNUMBER(Q89),Q89,Parametreler!$B$11),0)),0))</f>
        <v>0</v>
      </c>
      <c r="S89" s="36">
        <f>L89+P89+R89</f>
        <v>7.5820245676274949</v>
      </c>
      <c r="T89" s="39">
        <f>IF(S89=0,0,L89/S89)</f>
        <v>0.48002014965329309</v>
      </c>
      <c r="U89" s="39">
        <f>IF(S89=0,0,P89/S89)</f>
        <v>0.51997985034670691</v>
      </c>
      <c r="V89" s="39">
        <f>IF(S89=0,0,R89/S89)</f>
        <v>0</v>
      </c>
      <c r="W89" s="40">
        <f>SUM(AE89:AG89)/100*F89</f>
        <v>9.4619999999999997</v>
      </c>
      <c r="X89" s="37">
        <f>IF($G89=0,0,J89/$G89)</f>
        <v>0.90378062270362425</v>
      </c>
      <c r="Y89" s="37">
        <f>IF($G89=0,0,S89/$G89)</f>
        <v>1.8827972603991792</v>
      </c>
      <c r="Z89" s="41">
        <f>IF($G89=0,0,L89/$G89)</f>
        <v>0.90378062270362425</v>
      </c>
      <c r="AA89" s="36">
        <f>S89*Parametreler!$B$12</f>
        <v>10.842295131707317</v>
      </c>
      <c r="AB89" s="42">
        <f>AA89*F89</f>
        <v>520.43016632195122</v>
      </c>
      <c r="AC89" s="43"/>
      <c r="AD89" s="30" t="s">
        <v>91</v>
      </c>
      <c r="AE89" s="44">
        <f>INDEX('İşçilik Özet'!$W$6:$W$200,MATCH($A89&amp;"",'İşçilik Özet'!$A$6:$A$200,0))</f>
        <v>0</v>
      </c>
      <c r="AF89" s="44">
        <f>INDEX('İşçilik Özet'!$X$6:$X$200,MATCH($A89&amp;"",'İşçilik Özet'!$A$6:$A$200,0))</f>
        <v>12.9125</v>
      </c>
      <c r="AG89" s="44">
        <f>INDEX('İşçilik Özet'!$Y$6:$Y$200,MATCH($A89&amp;"",'İşçilik Özet'!$A$6:$A$200,0))</f>
        <v>6.8</v>
      </c>
      <c r="AH89" s="45">
        <f>(L89+P89)*F89+IF(E89="Kataforez",N(Q89)*F89,IF(E89="Yaş boya",ROUNDUP(F89/MAX(1,ROUND(IF(ISNUMBER(Q89),Q89,Parametreler!$B$11),0)),0)*Parametreler!$B$10,0))</f>
        <v>363.93717924611974</v>
      </c>
    </row>
    <row r="90" spans="1:34" ht="15" customHeight="1" x14ac:dyDescent="0.25">
      <c r="A90" s="30">
        <v>110067</v>
      </c>
      <c r="B90" s="30" t="s">
        <v>226</v>
      </c>
      <c r="C90" s="30" t="s">
        <v>130</v>
      </c>
      <c r="D90" s="30" t="s">
        <v>85</v>
      </c>
      <c r="E90" s="30" t="s">
        <v>124</v>
      </c>
      <c r="F90" s="31">
        <v>16</v>
      </c>
      <c r="G90" s="32">
        <v>8.4819999999999993</v>
      </c>
      <c r="H90" s="33">
        <f>INDEX('Sac Özet'!$L$5:$L$199,MATCH($A90&amp;"",'Sac Özet'!$A$5:$A$199,0))</f>
        <v>11.257173179999999</v>
      </c>
      <c r="I90" s="33">
        <f>INDEX('Sac Özet'!$M$5:$M$199,MATCH($A90&amp;"",'Sac Özet'!$A$5:$A$199,0))</f>
        <v>2.8351279799999998</v>
      </c>
      <c r="J90" s="34">
        <f>INDEX('Sac Özet'!$N$5:$N$199,MATCH($A90&amp;"",'Sac Özet'!$A$5:$A$199,0))</f>
        <v>8.0778784778181816</v>
      </c>
      <c r="K90" s="35">
        <f>SUMPRODUCT((--'Satınalma Parçaları'!$A$2:$A$107=--$A90)*'Satınalma Parçaları'!$L$2:$L$107)</f>
        <v>0</v>
      </c>
      <c r="L90" s="36">
        <f>J90+N(K90)</f>
        <v>8.0778784778181816</v>
      </c>
      <c r="M90" s="37">
        <f>AE90/100*Parametreler!$B$7</f>
        <v>0</v>
      </c>
      <c r="N90" s="37">
        <f>AF90/100*Parametreler!$B$8</f>
        <v>8.8324999999999996</v>
      </c>
      <c r="O90" s="37">
        <f>AG90/100*Parametreler!$B$9</f>
        <v>5.0122</v>
      </c>
      <c r="P90" s="36">
        <f>SUM(M90:O90)</f>
        <v>13.8447</v>
      </c>
      <c r="Q90" s="47"/>
      <c r="R90" s="37">
        <f>IF(E90="Kataforez",N(Q90),IF(E90="Yaş boya",Parametreler!$B$10/MAX(1,ROUND(IF(ISNUMBER(Q90),Q90,Parametreler!$B$11),0)),0))</f>
        <v>0</v>
      </c>
      <c r="S90" s="36">
        <f>L90+P90+R90</f>
        <v>21.922578477818181</v>
      </c>
      <c r="T90" s="39">
        <f>IF(S90=0,0,L90/S90)</f>
        <v>0.36847300996055654</v>
      </c>
      <c r="U90" s="39">
        <f>IF(S90=0,0,P90/S90)</f>
        <v>0.63152699003944346</v>
      </c>
      <c r="V90" s="39">
        <f>IF(S90=0,0,R90/S90)</f>
        <v>0</v>
      </c>
      <c r="W90" s="40">
        <f>SUM(AE90:AG90)/100*F90</f>
        <v>11.075760000000001</v>
      </c>
      <c r="X90" s="37">
        <f>IF($G90=0,0,J90/$G90)</f>
        <v>0.95235539705472561</v>
      </c>
      <c r="Y90" s="37">
        <f>IF($G90=0,0,S90/$G90)</f>
        <v>2.5846001506505756</v>
      </c>
      <c r="Z90" s="41">
        <f>IF($G90=0,0,L90/$G90)</f>
        <v>0.95235539705472561</v>
      </c>
      <c r="AA90" s="36">
        <f>S90*Parametreler!$B$12</f>
        <v>31.349287223279998</v>
      </c>
      <c r="AB90" s="42">
        <f>AA90*F90</f>
        <v>501.58859557247996</v>
      </c>
      <c r="AC90" s="43" t="s">
        <v>227</v>
      </c>
      <c r="AD90" s="30" t="s">
        <v>101</v>
      </c>
      <c r="AE90" s="44">
        <f>INDEX('İşçilik Özet'!$W$6:$W$200,MATCH($A90&amp;"",'İşçilik Özet'!$A$6:$A$200,0))</f>
        <v>0</v>
      </c>
      <c r="AF90" s="44">
        <f>INDEX('İşçilik Özet'!$X$6:$X$200,MATCH($A90&amp;"",'İşçilik Özet'!$A$6:$A$200,0))</f>
        <v>44.162499999999994</v>
      </c>
      <c r="AG90" s="44">
        <f>INDEX('İşçilik Özet'!$Y$6:$Y$200,MATCH($A90&amp;"",'İşçilik Özet'!$A$6:$A$200,0))</f>
        <v>25.061</v>
      </c>
      <c r="AH90" s="45">
        <f>(L90+P90)*F90+IF(E90="Kataforez",N(Q90)*F90,IF(E90="Yaş boya",ROUNDUP(F90/MAX(1,ROUND(IF(ISNUMBER(Q90),Q90,Parametreler!$B$11),0)),0)*Parametreler!$B$10,0))</f>
        <v>350.7612556450909</v>
      </c>
    </row>
    <row r="91" spans="1:34" ht="15" customHeight="1" x14ac:dyDescent="0.25">
      <c r="A91" s="30">
        <v>1091748</v>
      </c>
      <c r="B91" s="30" t="s">
        <v>322</v>
      </c>
      <c r="C91" s="30" t="s">
        <v>130</v>
      </c>
      <c r="D91" s="30" t="s">
        <v>85</v>
      </c>
      <c r="E91" s="30" t="s">
        <v>124</v>
      </c>
      <c r="F91" s="31">
        <v>30</v>
      </c>
      <c r="G91" s="32">
        <v>10.333</v>
      </c>
      <c r="H91" s="33">
        <f>INDEX('Sac Özet'!$L$5:$L$199,MATCH($A91&amp;"",'Sac Özet'!$A$5:$A$199,0))</f>
        <v>11.3668</v>
      </c>
      <c r="I91" s="33">
        <f>INDEX('Sac Özet'!$M$5:$M$199,MATCH($A91&amp;"",'Sac Özet'!$A$5:$A$199,0))</f>
        <v>1.0336879999999999</v>
      </c>
      <c r="J91" s="34">
        <f>INDEX('Sac Özet'!$N$5:$N$199,MATCH($A91&amp;"",'Sac Özet'!$A$5:$A$199,0))</f>
        <v>8.7551421090909098</v>
      </c>
      <c r="K91" s="35">
        <f>SUMPRODUCT((--'Satınalma Parçaları'!$A$2:$A$107=--$A91)*'Satınalma Parçaları'!$L$2:$L$107)</f>
        <v>0</v>
      </c>
      <c r="L91" s="36">
        <f>J91+N(K91)</f>
        <v>8.7551421090909098</v>
      </c>
      <c r="M91" s="37">
        <f>AE91/100*Parametreler!$B$7</f>
        <v>0</v>
      </c>
      <c r="N91" s="37">
        <f>AF91/100*Parametreler!$B$8</f>
        <v>2.0825</v>
      </c>
      <c r="O91" s="37">
        <f>AG91/100*Parametreler!$B$9</f>
        <v>1.268</v>
      </c>
      <c r="P91" s="36">
        <f>SUM(M91:O91)</f>
        <v>3.3505000000000003</v>
      </c>
      <c r="Q91" s="47"/>
      <c r="R91" s="37">
        <f>IF(E91="Kataforez",N(Q91),IF(E91="Yaş boya",Parametreler!$B$10/MAX(1,ROUND(IF(ISNUMBER(Q91),Q91,Parametreler!$B$11),0)),0))</f>
        <v>0</v>
      </c>
      <c r="S91" s="36">
        <f>L91+P91+R91</f>
        <v>12.10564210909091</v>
      </c>
      <c r="T91" s="39">
        <f>IF(S91=0,0,L91/S91)</f>
        <v>0.72322822946468135</v>
      </c>
      <c r="U91" s="39">
        <f>IF(S91=0,0,P91/S91)</f>
        <v>0.27677177053531865</v>
      </c>
      <c r="V91" s="39">
        <f>IF(S91=0,0,R91/S91)</f>
        <v>0</v>
      </c>
      <c r="W91" s="40">
        <f>SUM(AE91:AG91)/100*F91</f>
        <v>5.0257499999999995</v>
      </c>
      <c r="X91" s="37">
        <f>IF($G91=0,0,J91/$G91)</f>
        <v>0.84729914923941829</v>
      </c>
      <c r="Y91" s="37">
        <f>IF($G91=0,0,S91/$G91)</f>
        <v>1.1715515444779745</v>
      </c>
      <c r="Z91" s="41">
        <f>IF($G91=0,0,L91/$G91)</f>
        <v>0.84729914923941829</v>
      </c>
      <c r="AA91" s="36">
        <f>S91*Parametreler!$B$12</f>
        <v>17.311068216000002</v>
      </c>
      <c r="AB91" s="42">
        <f>AA91*F91</f>
        <v>519.33204648000003</v>
      </c>
      <c r="AC91" s="43"/>
      <c r="AD91" s="30"/>
      <c r="AE91" s="44">
        <f>INDEX('İşçilik Özet'!$W$6:$W$200,MATCH($A91&amp;"",'İşçilik Özet'!$A$6:$A$200,0))</f>
        <v>0</v>
      </c>
      <c r="AF91" s="44">
        <f>INDEX('İşçilik Özet'!$X$6:$X$200,MATCH($A91&amp;"",'İşçilik Özet'!$A$6:$A$200,0))</f>
        <v>10.4125</v>
      </c>
      <c r="AG91" s="44">
        <f>INDEX('İşçilik Özet'!$Y$6:$Y$200,MATCH($A91&amp;"",'İşçilik Özet'!$A$6:$A$200,0))</f>
        <v>6.34</v>
      </c>
      <c r="AH91" s="45">
        <f>(L91+P91)*F91+IF(E91="Kataforez",N(Q91)*F91,IF(E91="Yaş boya",ROUNDUP(F91/MAX(1,ROUND(IF(ISNUMBER(Q91),Q91,Parametreler!$B$11),0)),0)*Parametreler!$B$10,0))</f>
        <v>363.16926327272728</v>
      </c>
    </row>
    <row r="92" spans="1:34" ht="15" customHeight="1" x14ac:dyDescent="0.25">
      <c r="A92" s="30">
        <v>694385</v>
      </c>
      <c r="B92" s="30" t="s">
        <v>335</v>
      </c>
      <c r="C92" s="30" t="s">
        <v>139</v>
      </c>
      <c r="D92" s="30" t="s">
        <v>85</v>
      </c>
      <c r="E92" s="30" t="s">
        <v>124</v>
      </c>
      <c r="F92" s="31">
        <v>22</v>
      </c>
      <c r="G92" s="32">
        <v>15.52</v>
      </c>
      <c r="H92" s="33">
        <f>INDEX('Sac Özet'!$L$5:$L$199,MATCH($A92&amp;"",'Sac Özet'!$A$5:$A$199,0))</f>
        <v>21.5441534775</v>
      </c>
      <c r="I92" s="33">
        <f>INDEX('Sac Özet'!$M$5:$M$199,MATCH($A92&amp;"",'Sac Özet'!$A$5:$A$199,0))</f>
        <v>9.4647697274999985</v>
      </c>
      <c r="J92" s="34">
        <f>INDEX('Sac Özet'!$N$5:$N$199,MATCH($A92&amp;"",'Sac Özet'!$A$5:$A$199,0))</f>
        <v>14.137761780272728</v>
      </c>
      <c r="K92" s="35">
        <f>SUMPRODUCT((--'Satınalma Parçaları'!$A$2:$A$107=--$A92)*'Satınalma Parçaları'!$L$2:$L$107)</f>
        <v>0</v>
      </c>
      <c r="L92" s="36">
        <f>J92+N(K92)</f>
        <v>14.137761780272728</v>
      </c>
      <c r="M92" s="37">
        <f>AE92/100*Parametreler!$B$7</f>
        <v>0</v>
      </c>
      <c r="N92" s="37">
        <f>AF92/100*Parametreler!$B$8</f>
        <v>2.0825</v>
      </c>
      <c r="O92" s="37">
        <f>AG92/100*Parametreler!$B$9</f>
        <v>0.63659999999999994</v>
      </c>
      <c r="P92" s="36">
        <f>SUM(M92:O92)</f>
        <v>2.7191000000000001</v>
      </c>
      <c r="Q92" s="47"/>
      <c r="R92" s="37">
        <f>IF(E92="Kataforez",N(Q92),IF(E92="Yaş boya",Parametreler!$B$10/MAX(1,ROUND(IF(ISNUMBER(Q92),Q92,Parametreler!$B$11),0)),0))</f>
        <v>0</v>
      </c>
      <c r="S92" s="36">
        <f>L92+P92+R92</f>
        <v>16.856861780272727</v>
      </c>
      <c r="T92" s="39">
        <f>IF(S92=0,0,L92/S92)</f>
        <v>0.83869476801535436</v>
      </c>
      <c r="U92" s="39">
        <f>IF(S92=0,0,P92/S92)</f>
        <v>0.16130523198464572</v>
      </c>
      <c r="V92" s="39">
        <f>IF(S92=0,0,R92/S92)</f>
        <v>0</v>
      </c>
      <c r="W92" s="40">
        <f>SUM(AE92:AG92)/100*F92</f>
        <v>2.9910099999999997</v>
      </c>
      <c r="X92" s="37">
        <f>IF($G92=0,0,J92/$G92)</f>
        <v>0.91093825903819126</v>
      </c>
      <c r="Y92" s="37">
        <f>IF($G92=0,0,S92/$G92)</f>
        <v>1.0861380013062325</v>
      </c>
      <c r="Z92" s="41">
        <f>IF($G92=0,0,L92/$G92)</f>
        <v>0.91093825903819126</v>
      </c>
      <c r="AA92" s="36">
        <f>S92*Parametreler!$B$12</f>
        <v>24.105312345789997</v>
      </c>
      <c r="AB92" s="42">
        <f>AA92*F92</f>
        <v>530.31687160737988</v>
      </c>
      <c r="AC92" s="43" t="s">
        <v>336</v>
      </c>
      <c r="AD92" s="30" t="s">
        <v>182</v>
      </c>
      <c r="AE92" s="44">
        <f>INDEX('İşçilik Özet'!$W$6:$W$200,MATCH($A92&amp;"",'İşçilik Özet'!$A$6:$A$200,0))</f>
        <v>0</v>
      </c>
      <c r="AF92" s="44">
        <f>INDEX('İşçilik Özet'!$X$6:$X$200,MATCH($A92&amp;"",'İşçilik Özet'!$A$6:$A$200,0))</f>
        <v>10.4125</v>
      </c>
      <c r="AG92" s="44">
        <f>INDEX('İşçilik Özet'!$Y$6:$Y$200,MATCH($A92&amp;"",'İşçilik Özet'!$A$6:$A$200,0))</f>
        <v>3.1829999999999998</v>
      </c>
      <c r="AH92" s="45">
        <f>(L92+P92)*F92+IF(E92="Kataforez",N(Q92)*F92,IF(E92="Yaş boya",ROUNDUP(F92/MAX(1,ROUND(IF(ISNUMBER(Q92),Q92,Parametreler!$B$11),0)),0)*Parametreler!$B$10,0))</f>
        <v>370.850959166</v>
      </c>
    </row>
    <row r="93" spans="1:34" ht="15" customHeight="1" x14ac:dyDescent="0.25">
      <c r="A93" s="30">
        <v>113487</v>
      </c>
      <c r="B93" s="30" t="s">
        <v>225</v>
      </c>
      <c r="C93" s="30" t="s">
        <v>194</v>
      </c>
      <c r="D93" s="30" t="s">
        <v>23</v>
      </c>
      <c r="E93" s="30" t="s">
        <v>86</v>
      </c>
      <c r="F93" s="31">
        <v>13</v>
      </c>
      <c r="G93" s="32">
        <v>6.6059999999999999</v>
      </c>
      <c r="H93" s="33">
        <f>INDEX('Sac Özet'!$L$5:$L$199,MATCH($A93&amp;"",'Sac Özet'!$A$5:$A$199,0))</f>
        <v>8.3107597891743179</v>
      </c>
      <c r="I93" s="33">
        <f>INDEX('Sac Özet'!$M$5:$M$199,MATCH($A93&amp;"",'Sac Özet'!$A$5:$A$199,0))</f>
        <v>1.7047649891743177</v>
      </c>
      <c r="J93" s="34">
        <f>INDEX('Sac Özet'!$N$5:$N$199,MATCH($A93&amp;"",'Sac Özet'!$A$5:$A$199,0))</f>
        <v>6.0906847439733145</v>
      </c>
      <c r="K93" s="35">
        <f>SUMPRODUCT((--'Satınalma Parçaları'!$A$2:$A$107=--$A93)*'Satınalma Parçaları'!$L$2:$L$107)</f>
        <v>0</v>
      </c>
      <c r="L93" s="36">
        <f>J93+N(K93)</f>
        <v>6.0906847439733145</v>
      </c>
      <c r="M93" s="37">
        <f>AE93/100*Parametreler!$B$7</f>
        <v>2.3747500000000001</v>
      </c>
      <c r="N93" s="37">
        <f>AF93/100*Parametreler!$B$8</f>
        <v>1.5825</v>
      </c>
      <c r="O93" s="37">
        <f>AG93/100*Parametreler!$B$9</f>
        <v>1.6399999999999997</v>
      </c>
      <c r="P93" s="36">
        <f>SUM(M93:O93)</f>
        <v>5.5972499999999998</v>
      </c>
      <c r="Q93" s="38">
        <f>VLOOKUP($A93,'Yaş Boya Listesi'!$B$6:$L$131,11,FALSE())</f>
        <v>6</v>
      </c>
      <c r="R93" s="37">
        <f>IF(E93="Kataforez",N(Q93),IF(E93="Yaş boya",Parametreler!$B$10/MAX(1,ROUND(IF(ISNUMBER(Q93),Q93,Parametreler!$B$11),0)),0))</f>
        <v>13.333333333333334</v>
      </c>
      <c r="S93" s="36">
        <f>L93+P93+R93</f>
        <v>25.021268077306651</v>
      </c>
      <c r="T93" s="39">
        <f>IF(S93=0,0,L93/S93)</f>
        <v>0.24342030648308094</v>
      </c>
      <c r="U93" s="39">
        <f>IF(S93=0,0,P93/S93)</f>
        <v>0.22369969350500246</v>
      </c>
      <c r="V93" s="39">
        <f>IF(S93=0,0,R93/S93)</f>
        <v>0.53288000001191649</v>
      </c>
      <c r="W93" s="40">
        <f>SUM(AE93:AG93)/100*F93</f>
        <v>3.6382125000000003</v>
      </c>
      <c r="X93" s="37">
        <f>IF($G93=0,0,J93/$G93)</f>
        <v>0.92199284649913937</v>
      </c>
      <c r="Y93" s="37">
        <f>IF($G93=0,0,S93/$G93)</f>
        <v>3.7876578984720939</v>
      </c>
      <c r="Z93" s="41">
        <f>IF($G93=0,0,L93/$G93)</f>
        <v>0.92199284649913937</v>
      </c>
      <c r="AA93" s="36">
        <f>S93*Parametreler!$B$12</f>
        <v>35.780413350548507</v>
      </c>
      <c r="AB93" s="42">
        <f>AA93*F93</f>
        <v>465.1453735571306</v>
      </c>
      <c r="AC93" s="43"/>
      <c r="AD93" s="30" t="s">
        <v>91</v>
      </c>
      <c r="AE93" s="44">
        <f>INDEX('İşçilik Özet'!$W$6:$W$200,MATCH($A93&amp;"",'İşçilik Özet'!$A$6:$A$200,0))</f>
        <v>11.873750000000001</v>
      </c>
      <c r="AF93" s="44">
        <f>INDEX('İşçilik Özet'!$X$6:$X$200,MATCH($A93&amp;"",'İşçilik Özet'!$A$6:$A$200,0))</f>
        <v>7.9124999999999996</v>
      </c>
      <c r="AG93" s="44">
        <f>INDEX('İşçilik Özet'!$Y$6:$Y$200,MATCH($A93&amp;"",'İşçilik Özet'!$A$6:$A$200,0))</f>
        <v>8.1999999999999993</v>
      </c>
      <c r="AH93" s="45">
        <f>(L93+P93)*F93+IF(E93="Kataforez",N(Q93)*F93,IF(E93="Yaş boya",ROUNDUP(F93/MAX(1,ROUND(IF(ISNUMBER(Q93),Q93,Parametreler!$B$11),0)),0)*Parametreler!$B$10,0))</f>
        <v>391.94315167165308</v>
      </c>
    </row>
    <row r="94" spans="1:34" ht="15" customHeight="1" x14ac:dyDescent="0.25">
      <c r="A94" s="30">
        <v>680921</v>
      </c>
      <c r="B94" s="30" t="s">
        <v>213</v>
      </c>
      <c r="C94" s="30" t="s">
        <v>139</v>
      </c>
      <c r="D94" s="30" t="s">
        <v>23</v>
      </c>
      <c r="E94" s="30" t="s">
        <v>86</v>
      </c>
      <c r="F94" s="31">
        <v>20</v>
      </c>
      <c r="G94" s="32">
        <v>1.647</v>
      </c>
      <c r="H94" s="33">
        <f>INDEX('Sac Özet'!$L$5:$L$199,MATCH($A94&amp;"",'Sac Özet'!$A$5:$A$199,0))</f>
        <v>2.0690063655754427</v>
      </c>
      <c r="I94" s="33">
        <f>INDEX('Sac Özet'!$M$5:$M$199,MATCH($A94&amp;"",'Sac Özet'!$A$5:$A$199,0))</f>
        <v>0.42196646557544287</v>
      </c>
      <c r="J94" s="34">
        <f>INDEX('Sac Özet'!$N$5:$N$199,MATCH($A94&amp;"",'Sac Özet'!$A$5:$A$199,0))</f>
        <v>1.5171069764538458</v>
      </c>
      <c r="K94" s="35">
        <f>SUMPRODUCT((--'Satınalma Parçaları'!$A$2:$A$107=--$A94)*'Satınalma Parçaları'!$L$2:$L$107)</f>
        <v>0</v>
      </c>
      <c r="L94" s="36">
        <f>J94+N(K94)</f>
        <v>1.5171069764538458</v>
      </c>
      <c r="M94" s="37">
        <f>AE94/100*Parametreler!$B$7</f>
        <v>1.3109999999999999</v>
      </c>
      <c r="N94" s="37">
        <f>AF94/100*Parametreler!$B$8</f>
        <v>2.0825</v>
      </c>
      <c r="O94" s="37">
        <f>AG94/100*Parametreler!$B$9</f>
        <v>1.61</v>
      </c>
      <c r="P94" s="36">
        <f>SUM(M94:O94)</f>
        <v>5.0034999999999998</v>
      </c>
      <c r="Q94" s="38">
        <f>VLOOKUP($A94,'Yaş Boya Listesi'!$B$6:$L$131,11,FALSE())</f>
        <v>10</v>
      </c>
      <c r="R94" s="37">
        <f>IF(E94="Kataforez",N(Q94),IF(E94="Yaş boya",Parametreler!$B$10/MAX(1,ROUND(IF(ISNUMBER(Q94),Q94,Parametreler!$B$11),0)),0))</f>
        <v>8</v>
      </c>
      <c r="S94" s="36">
        <f>L94+P94+R94</f>
        <v>14.520606976453845</v>
      </c>
      <c r="T94" s="39">
        <f>IF(S94=0,0,L94/S94)</f>
        <v>0.10447958400870834</v>
      </c>
      <c r="U94" s="39">
        <f>IF(S94=0,0,P94/S94)</f>
        <v>0.3445792595387725</v>
      </c>
      <c r="V94" s="39">
        <f>IF(S94=0,0,R94/S94)</f>
        <v>0.55094115645251929</v>
      </c>
      <c r="W94" s="40">
        <f>SUM(AE94:AG94)/100*F94</f>
        <v>5.0035000000000007</v>
      </c>
      <c r="X94" s="37">
        <f>IF($G94=0,0,J94/$G94)</f>
        <v>0.92113356190276008</v>
      </c>
      <c r="Y94" s="37">
        <f>IF($G94=0,0,S94/$G94)</f>
        <v>8.8163976784783511</v>
      </c>
      <c r="Z94" s="41">
        <f>IF($G94=0,0,L94/$G94)</f>
        <v>0.92113356190276008</v>
      </c>
      <c r="AA94" s="36">
        <f>S94*Parametreler!$B$12</f>
        <v>20.764467976328998</v>
      </c>
      <c r="AB94" s="42">
        <f>AA94*F94</f>
        <v>415.28935952657997</v>
      </c>
      <c r="AC94" s="43"/>
      <c r="AD94" s="30" t="s">
        <v>91</v>
      </c>
      <c r="AE94" s="44">
        <f>INDEX('İşçilik Özet'!$W$6:$W$200,MATCH($A94&amp;"",'İşçilik Özet'!$A$6:$A$200,0))</f>
        <v>6.5549999999999997</v>
      </c>
      <c r="AF94" s="44">
        <f>INDEX('İşçilik Özet'!$X$6:$X$200,MATCH($A94&amp;"",'İşçilik Özet'!$A$6:$A$200,0))</f>
        <v>10.4125</v>
      </c>
      <c r="AG94" s="44">
        <f>INDEX('İşçilik Özet'!$Y$6:$Y$200,MATCH($A94&amp;"",'İşçilik Özet'!$A$6:$A$200,0))</f>
        <v>8.0500000000000007</v>
      </c>
      <c r="AH94" s="45">
        <f>(L94+P94)*F94+IF(E94="Kataforez",N(Q94)*F94,IF(E94="Yaş boya",ROUNDUP(F94/MAX(1,ROUND(IF(ISNUMBER(Q94),Q94,Parametreler!$B$11),0)),0)*Parametreler!$B$10,0))</f>
        <v>290.41213952907691</v>
      </c>
    </row>
    <row r="95" spans="1:34" ht="15" customHeight="1" x14ac:dyDescent="0.25">
      <c r="A95" s="30">
        <v>388529</v>
      </c>
      <c r="B95" s="30" t="s">
        <v>214</v>
      </c>
      <c r="C95" s="30" t="s">
        <v>117</v>
      </c>
      <c r="D95" s="30" t="s">
        <v>23</v>
      </c>
      <c r="E95" s="30" t="s">
        <v>86</v>
      </c>
      <c r="F95" s="31">
        <v>20</v>
      </c>
      <c r="G95" s="32">
        <v>1.7430000000000001</v>
      </c>
      <c r="H95" s="33">
        <f>INDEX('Sac Özet'!$L$5:$L$199,MATCH($A95&amp;"",'Sac Özet'!$A$5:$A$199,0))</f>
        <v>2.1828478911249185</v>
      </c>
      <c r="I95" s="33">
        <f>INDEX('Sac Özet'!$M$5:$M$199,MATCH($A95&amp;"",'Sac Özet'!$A$5:$A$199,0))</f>
        <v>0.43986529112491884</v>
      </c>
      <c r="J95" s="34">
        <f>INDEX('Sac Özet'!$N$5:$N$199,MATCH($A95&amp;"",'Sac Özet'!$A$5:$A$199,0))</f>
        <v>1.6023223994408706</v>
      </c>
      <c r="K95" s="35">
        <f>SUMPRODUCT((--'Satınalma Parçaları'!$A$2:$A$107=--$A95)*'Satınalma Parçaları'!$L$2:$L$107)</f>
        <v>0</v>
      </c>
      <c r="L95" s="36">
        <f>J95+N(K95)</f>
        <v>1.6023223994408706</v>
      </c>
      <c r="M95" s="37">
        <f>AE95/100*Parametreler!$B$7</f>
        <v>1.3109999999999999</v>
      </c>
      <c r="N95" s="37">
        <f>AF95/100*Parametreler!$B$8</f>
        <v>2.0825</v>
      </c>
      <c r="O95" s="37">
        <f>AG95/100*Parametreler!$B$9</f>
        <v>1.5</v>
      </c>
      <c r="P95" s="36">
        <f>SUM(M95:O95)</f>
        <v>4.8934999999999995</v>
      </c>
      <c r="Q95" s="38">
        <f>VLOOKUP($A95,'Yaş Boya Listesi'!$B$6:$L$131,11,FALSE())</f>
        <v>10</v>
      </c>
      <c r="R95" s="37">
        <f>IF(E95="Kataforez",N(Q95),IF(E95="Yaş boya",Parametreler!$B$10/MAX(1,ROUND(IF(ISNUMBER(Q95),Q95,Parametreler!$B$11),0)),0))</f>
        <v>8</v>
      </c>
      <c r="S95" s="36">
        <f>L95+P95+R95</f>
        <v>14.49582239944087</v>
      </c>
      <c r="T95" s="39">
        <f>IF(S95=0,0,L95/S95)</f>
        <v>0.11053683987620289</v>
      </c>
      <c r="U95" s="39">
        <f>IF(S95=0,0,P95/S95)</f>
        <v>0.33758001892936756</v>
      </c>
      <c r="V95" s="39">
        <f>IF(S95=0,0,R95/S95)</f>
        <v>0.55188314119442949</v>
      </c>
      <c r="W95" s="40">
        <f>SUM(AE95:AG95)/100*F95</f>
        <v>4.8935000000000004</v>
      </c>
      <c r="X95" s="37">
        <f>IF($G95=0,0,J95/$G95)</f>
        <v>0.91928995951857173</v>
      </c>
      <c r="Y95" s="37">
        <f>IF($G95=0,0,S95/$G95)</f>
        <v>8.3165934592317097</v>
      </c>
      <c r="Z95" s="41">
        <f>IF($G95=0,0,L95/$G95)</f>
        <v>0.91928995951857173</v>
      </c>
      <c r="AA95" s="36">
        <f>S95*Parametreler!$B$12</f>
        <v>20.729026031200444</v>
      </c>
      <c r="AB95" s="42">
        <f>AA95*F95</f>
        <v>414.5805206240089</v>
      </c>
      <c r="AC95" s="43"/>
      <c r="AD95" s="30" t="s">
        <v>91</v>
      </c>
      <c r="AE95" s="44">
        <f>INDEX('İşçilik Özet'!$W$6:$W$200,MATCH($A95&amp;"",'İşçilik Özet'!$A$6:$A$200,0))</f>
        <v>6.5549999999999997</v>
      </c>
      <c r="AF95" s="44">
        <f>INDEX('İşçilik Özet'!$X$6:$X$200,MATCH($A95&amp;"",'İşçilik Özet'!$A$6:$A$200,0))</f>
        <v>10.4125</v>
      </c>
      <c r="AG95" s="44">
        <f>INDEX('İşçilik Özet'!$Y$6:$Y$200,MATCH($A95&amp;"",'İşçilik Özet'!$A$6:$A$200,0))</f>
        <v>7.5</v>
      </c>
      <c r="AH95" s="45">
        <f>(L95+P95)*F95+IF(E95="Kataforez",N(Q95)*F95,IF(E95="Yaş boya",ROUNDUP(F95/MAX(1,ROUND(IF(ISNUMBER(Q95),Q95,Parametreler!$B$11),0)),0)*Parametreler!$B$10,0))</f>
        <v>289.91644798881737</v>
      </c>
    </row>
    <row r="96" spans="1:34" ht="15" customHeight="1" x14ac:dyDescent="0.25">
      <c r="A96" s="30">
        <v>543659</v>
      </c>
      <c r="B96" s="30" t="s">
        <v>319</v>
      </c>
      <c r="C96" s="30" t="s">
        <v>84</v>
      </c>
      <c r="D96" s="30" t="s">
        <v>23</v>
      </c>
      <c r="E96" s="30" t="s">
        <v>94</v>
      </c>
      <c r="F96" s="31">
        <v>12</v>
      </c>
      <c r="G96" s="32">
        <v>8.6489999999999991</v>
      </c>
      <c r="H96" s="33">
        <f>INDEX('Sac Özet'!$L$5:$L$199,MATCH($A96&amp;"",'Sac Özet'!$A$5:$A$199,0))</f>
        <v>4.9018063015858298</v>
      </c>
      <c r="I96" s="33">
        <f>INDEX('Sac Özet'!$M$5:$M$199,MATCH($A96&amp;"",'Sac Özet'!$A$5:$A$199,0))</f>
        <v>1.0188195015858295</v>
      </c>
      <c r="J96" s="34">
        <f>INDEX('Sac Özet'!$N$5:$N$199,MATCH($A96&amp;"",'Sac Özet'!$A$5:$A$199,0))</f>
        <v>3.5880132043860287</v>
      </c>
      <c r="K96" s="35">
        <f>SUMPRODUCT((--'Satınalma Parçaları'!$A$2:$A$107=--$A96)*'Satınalma Parçaları'!$L$2:$L$107)</f>
        <v>3.12</v>
      </c>
      <c r="L96" s="36">
        <f>J96+N(K96)</f>
        <v>6.7080132043860292</v>
      </c>
      <c r="M96" s="37">
        <f>AE96/100*Parametreler!$B$7</f>
        <v>3.9329999999999998</v>
      </c>
      <c r="N96" s="37">
        <f>AF96/100*Parametreler!$B$8</f>
        <v>3.5825</v>
      </c>
      <c r="O96" s="37">
        <f>AG96/100*Parametreler!$B$9</f>
        <v>2.0640000000000001</v>
      </c>
      <c r="P96" s="36">
        <f>SUM(M96:O96)</f>
        <v>9.5794999999999995</v>
      </c>
      <c r="Q96" s="38">
        <f>IFERROR(INDEX('Kataforez Teklifleri'!$G$6:$G$50,MATCH($A96&amp;"",'Kataforez Teklifleri'!$A$6:$A$50,0)),"")</f>
        <v>6.92</v>
      </c>
      <c r="R96" s="37">
        <f>IF(E96="Kataforez",N(Q96),IF(E96="Yaş boya",Parametreler!$B$10/MAX(1,ROUND(IF(ISNUMBER(Q96),Q96,Parametreler!$B$11),0)),0))</f>
        <v>6.92</v>
      </c>
      <c r="S96" s="36">
        <f>L96+P96+R96</f>
        <v>23.207513204386032</v>
      </c>
      <c r="T96" s="39">
        <f>IF(S96=0,0,L96/S96)</f>
        <v>0.28904489444040343</v>
      </c>
      <c r="U96" s="39">
        <f>IF(S96=0,0,P96/S96)</f>
        <v>0.41277580737041447</v>
      </c>
      <c r="V96" s="39">
        <f>IF(S96=0,0,R96/S96)</f>
        <v>0.29817929818918193</v>
      </c>
      <c r="W96" s="40">
        <f>SUM(AE96:AG96)/100*F96</f>
        <v>5.7477</v>
      </c>
      <c r="X96" s="37">
        <f>IF($G96=0,0,J96/$G96)</f>
        <v>0.4148471735907075</v>
      </c>
      <c r="Y96" s="37">
        <f>IF($G96=0,0,S96/$G96)</f>
        <v>2.6832597068315454</v>
      </c>
      <c r="Z96" s="41">
        <f>IF($G96=0,0,L96/$G96)</f>
        <v>0.77558251871731176</v>
      </c>
      <c r="AA96" s="36">
        <f>S96*Parametreler!$B$12</f>
        <v>33.186743882272026</v>
      </c>
      <c r="AB96" s="42">
        <f>AA96*F96</f>
        <v>398.24092658726431</v>
      </c>
      <c r="AC96" s="43" t="s">
        <v>134</v>
      </c>
      <c r="AD96" s="30" t="s">
        <v>96</v>
      </c>
      <c r="AE96" s="44">
        <f>INDEX('İşçilik Özet'!$W$6:$W$200,MATCH($A96&amp;"",'İşçilik Özet'!$A$6:$A$200,0))</f>
        <v>19.664999999999999</v>
      </c>
      <c r="AF96" s="44">
        <f>INDEX('İşçilik Özet'!$X$6:$X$200,MATCH($A96&amp;"",'İşçilik Özet'!$A$6:$A$200,0))</f>
        <v>17.912500000000001</v>
      </c>
      <c r="AG96" s="44">
        <f>INDEX('İşçilik Özet'!$Y$6:$Y$200,MATCH($A96&amp;"",'İşçilik Özet'!$A$6:$A$200,0))</f>
        <v>10.32</v>
      </c>
      <c r="AH96" s="45">
        <f>(L96+P96)*F96+IF(E96="Kataforez",N(Q96)*F96,IF(E96="Yaş boya",ROUNDUP(F96/MAX(1,ROUND(IF(ISNUMBER(Q96),Q96,Parametreler!$B$11),0)),0)*Parametreler!$B$10,0))</f>
        <v>278.49015845263239</v>
      </c>
    </row>
    <row r="97" spans="1:34" ht="15" customHeight="1" x14ac:dyDescent="0.25">
      <c r="A97" s="30">
        <v>109984</v>
      </c>
      <c r="B97" s="30" t="s">
        <v>208</v>
      </c>
      <c r="C97" s="30" t="s">
        <v>93</v>
      </c>
      <c r="D97" s="30" t="s">
        <v>23</v>
      </c>
      <c r="E97" s="30" t="s">
        <v>86</v>
      </c>
      <c r="F97" s="31">
        <v>16</v>
      </c>
      <c r="G97" s="32">
        <v>1.9590000000000001</v>
      </c>
      <c r="H97" s="33">
        <f>INDEX('Sac Özet'!$L$5:$L$199,MATCH($A97&amp;"",'Sac Özet'!$A$5:$A$199,0))</f>
        <v>2.4828684410646389</v>
      </c>
      <c r="I97" s="33">
        <f>INDEX('Sac Özet'!$M$5:$M$199,MATCH($A97&amp;"",'Sac Özet'!$A$5:$A$199,0))</f>
        <v>0.52388524106463885</v>
      </c>
      <c r="J97" s="34">
        <f>INDEX('Sac Özet'!$N$5:$N$199,MATCH($A97&amp;"",'Sac Özet'!$A$5:$A$199,0))</f>
        <v>1.8148414012305565</v>
      </c>
      <c r="K97" s="35">
        <f>SUMPRODUCT((--'Satınalma Parçaları'!$A$2:$A$107=--$A97)*'Satınalma Parçaları'!$L$2:$L$107)</f>
        <v>0</v>
      </c>
      <c r="L97" s="36">
        <f>J97+N(K97)</f>
        <v>1.8148414012305565</v>
      </c>
      <c r="M97" s="37">
        <f>AE97/100*Parametreler!$B$7</f>
        <v>3.4729999999999994</v>
      </c>
      <c r="N97" s="37">
        <f>AF97/100*Parametreler!$B$8</f>
        <v>2.5824999999999996</v>
      </c>
      <c r="O97" s="37">
        <f>AG97/100*Parametreler!$B$9</f>
        <v>1.24</v>
      </c>
      <c r="P97" s="36">
        <f>SUM(M97:O97)</f>
        <v>7.2954999999999988</v>
      </c>
      <c r="Q97" s="38">
        <f>VLOOKUP($A97,'Yaş Boya Listesi'!$B$6:$L$131,11,FALSE())</f>
        <v>10</v>
      </c>
      <c r="R97" s="37">
        <f>IF(E97="Kataforez",N(Q97),IF(E97="Yaş boya",Parametreler!$B$10/MAX(1,ROUND(IF(ISNUMBER(Q97),Q97,Parametreler!$B$11),0)),0))</f>
        <v>8</v>
      </c>
      <c r="S97" s="36">
        <f>L97+P97+R97</f>
        <v>17.110341401230556</v>
      </c>
      <c r="T97" s="39">
        <f>IF(S97=0,0,L97/S97)</f>
        <v>0.10606693102570328</v>
      </c>
      <c r="U97" s="39">
        <f>IF(S97=0,0,P97/S97)</f>
        <v>0.42637956946173583</v>
      </c>
      <c r="V97" s="39">
        <f>IF(S97=0,0,R97/S97)</f>
        <v>0.46755349951256081</v>
      </c>
      <c r="W97" s="40">
        <f>SUM(AE97:AG97)/100*F97</f>
        <v>5.8364000000000003</v>
      </c>
      <c r="X97" s="37">
        <f>IF($G97=0,0,J97/$G97)</f>
        <v>0.92641214968379604</v>
      </c>
      <c r="Y97" s="37">
        <f>IF($G97=0,0,S97/$G97)</f>
        <v>8.7342222568813455</v>
      </c>
      <c r="Z97" s="41">
        <f>IF($G97=0,0,L97/$G97)</f>
        <v>0.92641214968379604</v>
      </c>
      <c r="AA97" s="36">
        <f>S97*Parametreler!$B$12</f>
        <v>24.467788203759696</v>
      </c>
      <c r="AB97" s="42">
        <f>AA97*F97</f>
        <v>391.48461126015513</v>
      </c>
      <c r="AC97" s="43"/>
      <c r="AD97" s="30" t="s">
        <v>91</v>
      </c>
      <c r="AE97" s="44">
        <f>INDEX('İşçilik Özet'!$W$6:$W$200,MATCH($A97&amp;"",'İşçilik Özet'!$A$6:$A$200,0))</f>
        <v>17.364999999999998</v>
      </c>
      <c r="AF97" s="44">
        <f>INDEX('İşçilik Özet'!$X$6:$X$200,MATCH($A97&amp;"",'İşçilik Özet'!$A$6:$A$200,0))</f>
        <v>12.9125</v>
      </c>
      <c r="AG97" s="44">
        <f>INDEX('İşçilik Özet'!$Y$6:$Y$200,MATCH($A97&amp;"",'İşçilik Özet'!$A$6:$A$200,0))</f>
        <v>6.2</v>
      </c>
      <c r="AH97" s="45">
        <f>(L97+P97)*F97+IF(E97="Kataforez",N(Q97)*F97,IF(E97="Yaş boya",ROUNDUP(F97/MAX(1,ROUND(IF(ISNUMBER(Q97),Q97,Parametreler!$B$11),0)),0)*Parametreler!$B$10,0))</f>
        <v>305.7654624196889</v>
      </c>
    </row>
    <row r="98" spans="1:34" ht="15" customHeight="1" x14ac:dyDescent="0.25">
      <c r="A98" s="30">
        <v>238114</v>
      </c>
      <c r="B98" s="30" t="s">
        <v>221</v>
      </c>
      <c r="C98" s="30" t="s">
        <v>194</v>
      </c>
      <c r="D98" s="30" t="s">
        <v>23</v>
      </c>
      <c r="E98" s="30" t="s">
        <v>86</v>
      </c>
      <c r="F98" s="31">
        <v>10</v>
      </c>
      <c r="G98" s="32">
        <v>6.8129999999999997</v>
      </c>
      <c r="H98" s="33">
        <f>INDEX('Sac Özet'!$L$5:$L$199,MATCH($A98&amp;"",'Sac Özet'!$A$5:$A$199,0))</f>
        <v>8.5853102085844988</v>
      </c>
      <c r="I98" s="33">
        <f>INDEX('Sac Özet'!$M$5:$M$199,MATCH($A98&amp;"",'Sac Özet'!$A$5:$A$199,0))</f>
        <v>1.7723344585844996</v>
      </c>
      <c r="J98" s="34">
        <f>INDEX('Sac Özet'!$N$5:$N$199,MATCH($A98&amp;"",'Sac Özet'!$A$5:$A$199,0))</f>
        <v>6.2882114349672182</v>
      </c>
      <c r="K98" s="35">
        <f>SUMPRODUCT((--'Satınalma Parçaları'!$A$2:$A$107=--$A98)*'Satınalma Parçaları'!$L$2:$L$107)</f>
        <v>0</v>
      </c>
      <c r="L98" s="36">
        <f>J98+N(K98)</f>
        <v>6.2882114349672182</v>
      </c>
      <c r="M98" s="37">
        <f>AE98/100*Parametreler!$B$7</f>
        <v>2.3919999999999995</v>
      </c>
      <c r="N98" s="37">
        <f>AF98/100*Parametreler!$B$8</f>
        <v>3.5825</v>
      </c>
      <c r="O98" s="37">
        <f>AG98/100*Parametreler!$B$9</f>
        <v>2.1408</v>
      </c>
      <c r="P98" s="36">
        <f>SUM(M98:O98)</f>
        <v>8.1152999999999995</v>
      </c>
      <c r="Q98" s="38">
        <f>VLOOKUP($A98,'Yaş Boya Listesi'!$B$6:$L$131,11,FALSE())</f>
        <v>6</v>
      </c>
      <c r="R98" s="37">
        <f>IF(E98="Kataforez",N(Q98),IF(E98="Yaş boya",Parametreler!$B$10/MAX(1,ROUND(IF(ISNUMBER(Q98),Q98,Parametreler!$B$11),0)),0))</f>
        <v>13.333333333333334</v>
      </c>
      <c r="S98" s="36">
        <f>L98+P98+R98</f>
        <v>27.73684476830055</v>
      </c>
      <c r="T98" s="39">
        <f>IF(S98=0,0,L98/S98)</f>
        <v>0.22670968841249711</v>
      </c>
      <c r="U98" s="39">
        <f>IF(S98=0,0,P98/S98)</f>
        <v>0.29258194534349796</v>
      </c>
      <c r="V98" s="39">
        <f>IF(S98=0,0,R98/S98)</f>
        <v>0.48070836624400498</v>
      </c>
      <c r="W98" s="40">
        <f>SUM(AE98:AG98)/100*F98</f>
        <v>4.0576500000000006</v>
      </c>
      <c r="X98" s="37">
        <f>IF($G98=0,0,J98/$G98)</f>
        <v>0.92297246953870815</v>
      </c>
      <c r="Y98" s="37">
        <f>IF($G98=0,0,S98/$G98)</f>
        <v>4.0711646511522899</v>
      </c>
      <c r="Z98" s="41">
        <f>IF($G98=0,0,L98/$G98)</f>
        <v>0.92297246953870815</v>
      </c>
      <c r="AA98" s="36">
        <f>S98*Parametreler!$B$12</f>
        <v>39.663688018669788</v>
      </c>
      <c r="AB98" s="42">
        <f>AA98*F98</f>
        <v>396.63688018669791</v>
      </c>
      <c r="AC98" s="43"/>
      <c r="AD98" s="30" t="s">
        <v>91</v>
      </c>
      <c r="AE98" s="44">
        <f>INDEX('İşçilik Özet'!$W$6:$W$200,MATCH($A98&amp;"",'İşçilik Özet'!$A$6:$A$200,0))</f>
        <v>11.959999999999999</v>
      </c>
      <c r="AF98" s="44">
        <f>INDEX('İşçilik Özet'!$X$6:$X$200,MATCH($A98&amp;"",'İşçilik Özet'!$A$6:$A$200,0))</f>
        <v>17.912500000000001</v>
      </c>
      <c r="AG98" s="44">
        <f>INDEX('İşçilik Özet'!$Y$6:$Y$200,MATCH($A98&amp;"",'İşçilik Özet'!$A$6:$A$200,0))</f>
        <v>10.704000000000001</v>
      </c>
      <c r="AH98" s="45">
        <f>(L98+P98)*F98+IF(E98="Kataforez",N(Q98)*F98,IF(E98="Yaş boya",ROUNDUP(F98/MAX(1,ROUND(IF(ISNUMBER(Q98),Q98,Parametreler!$B$11),0)),0)*Parametreler!$B$10,0))</f>
        <v>304.0351143496722</v>
      </c>
    </row>
    <row r="99" spans="1:34" ht="15" customHeight="1" x14ac:dyDescent="0.25">
      <c r="A99" s="30">
        <v>1162344</v>
      </c>
      <c r="B99" s="30" t="s">
        <v>209</v>
      </c>
      <c r="C99" s="30" t="s">
        <v>139</v>
      </c>
      <c r="D99" s="30" t="s">
        <v>23</v>
      </c>
      <c r="E99" s="30" t="s">
        <v>86</v>
      </c>
      <c r="F99" s="31">
        <v>16</v>
      </c>
      <c r="G99" s="32">
        <v>1.8320000000000001</v>
      </c>
      <c r="H99" s="33">
        <f>INDEX('Sac Özet'!$L$5:$L$199,MATCH($A99&amp;"",'Sac Özet'!$A$5:$A$199,0))</f>
        <v>2.3219285171102659</v>
      </c>
      <c r="I99" s="33">
        <f>INDEX('Sac Özet'!$M$5:$M$199,MATCH($A99&amp;"",'Sac Özet'!$A$5:$A$199,0))</f>
        <v>0.48992691711026587</v>
      </c>
      <c r="J99" s="34">
        <f>INDEX('Sac Özet'!$N$5:$N$199,MATCH($A99&amp;"",'Sac Özet'!$A$5:$A$199,0))</f>
        <v>1.6972030953612167</v>
      </c>
      <c r="K99" s="35">
        <f>SUMPRODUCT((--'Satınalma Parçaları'!$A$2:$A$107=--$A99)*'Satınalma Parçaları'!$L$2:$L$107)</f>
        <v>0</v>
      </c>
      <c r="L99" s="36">
        <f>J99+N(K99)</f>
        <v>1.6972030953612167</v>
      </c>
      <c r="M99" s="37">
        <f>AE99/100*Parametreler!$B$7</f>
        <v>3.4729999999999994</v>
      </c>
      <c r="N99" s="37">
        <f>AF99/100*Parametreler!$B$8</f>
        <v>2.5824999999999996</v>
      </c>
      <c r="O99" s="37">
        <f>AG99/100*Parametreler!$B$9</f>
        <v>1.24</v>
      </c>
      <c r="P99" s="36">
        <f>SUM(M99:O99)</f>
        <v>7.2954999999999988</v>
      </c>
      <c r="Q99" s="38">
        <f>VLOOKUP($A99,'Yaş Boya Listesi'!$B$6:$L$131,11,FALSE())</f>
        <v>10</v>
      </c>
      <c r="R99" s="37">
        <f>IF(E99="Kataforez",N(Q99),IF(E99="Yaş boya",Parametreler!$B$10/MAX(1,ROUND(IF(ISNUMBER(Q99),Q99,Parametreler!$B$11),0)),0))</f>
        <v>8</v>
      </c>
      <c r="S99" s="36">
        <f>L99+P99+R99</f>
        <v>16.992703095361215</v>
      </c>
      <c r="T99" s="39">
        <f>IF(S99=0,0,L99/S99)</f>
        <v>9.987834694908139E-2</v>
      </c>
      <c r="U99" s="39">
        <f>IF(S99=0,0,P99/S99)</f>
        <v>0.42933134057944994</v>
      </c>
      <c r="V99" s="39">
        <f>IF(S99=0,0,R99/S99)</f>
        <v>0.47079031247146874</v>
      </c>
      <c r="W99" s="40">
        <f>SUM(AE99:AG99)/100*F99</f>
        <v>5.8364000000000003</v>
      </c>
      <c r="X99" s="37">
        <f>IF($G99=0,0,J99/$G99)</f>
        <v>0.92642090358145013</v>
      </c>
      <c r="Y99" s="37">
        <f>IF($G99=0,0,S99/$G99)</f>
        <v>9.2754929559831947</v>
      </c>
      <c r="Z99" s="41">
        <f>IF($G99=0,0,L99/$G99)</f>
        <v>0.92642090358145013</v>
      </c>
      <c r="AA99" s="36">
        <f>S99*Parametreler!$B$12</f>
        <v>24.299565426366534</v>
      </c>
      <c r="AB99" s="42">
        <f>AA99*F99</f>
        <v>388.79304682186455</v>
      </c>
      <c r="AC99" s="43"/>
      <c r="AD99" s="30" t="s">
        <v>91</v>
      </c>
      <c r="AE99" s="44">
        <f>INDEX('İşçilik Özet'!$W$6:$W$200,MATCH($A99&amp;"",'İşçilik Özet'!$A$6:$A$200,0))</f>
        <v>17.364999999999998</v>
      </c>
      <c r="AF99" s="44">
        <f>INDEX('İşçilik Özet'!$X$6:$X$200,MATCH($A99&amp;"",'İşçilik Özet'!$A$6:$A$200,0))</f>
        <v>12.9125</v>
      </c>
      <c r="AG99" s="44">
        <f>INDEX('İşçilik Özet'!$Y$6:$Y$200,MATCH($A99&amp;"",'İşçilik Özet'!$A$6:$A$200,0))</f>
        <v>6.2</v>
      </c>
      <c r="AH99" s="45">
        <f>(L99+P99)*F99+IF(E99="Kataforez",N(Q99)*F99,IF(E99="Yaş boya",ROUNDUP(F99/MAX(1,ROUND(IF(ISNUMBER(Q99),Q99,Parametreler!$B$11),0)),0)*Parametreler!$B$10,0))</f>
        <v>303.88324952577943</v>
      </c>
    </row>
    <row r="100" spans="1:34" ht="15" customHeight="1" x14ac:dyDescent="0.25">
      <c r="A100" s="30">
        <v>234404</v>
      </c>
      <c r="B100" s="30" t="s">
        <v>320</v>
      </c>
      <c r="C100" s="30" t="s">
        <v>107</v>
      </c>
      <c r="D100" s="30" t="s">
        <v>85</v>
      </c>
      <c r="E100" s="30" t="s">
        <v>124</v>
      </c>
      <c r="F100" s="31">
        <v>10</v>
      </c>
      <c r="G100" s="32">
        <v>21.361000000000001</v>
      </c>
      <c r="H100" s="33">
        <f>INDEX('Sac Özet'!$L$5:$L$199,MATCH($A100&amp;"",'Sac Özet'!$A$5:$A$199,0))</f>
        <v>23.556958239999997</v>
      </c>
      <c r="I100" s="33">
        <f>INDEX('Sac Özet'!$M$5:$M$199,MATCH($A100&amp;"",'Sac Özet'!$A$5:$A$199,0))</f>
        <v>2.1939839399999963</v>
      </c>
      <c r="J100" s="34">
        <f>INDEX('Sac Özet'!$N$5:$N$199,MATCH($A100&amp;"",'Sac Özet'!$A$5:$A$199,0))</f>
        <v>18.127535484363634</v>
      </c>
      <c r="K100" s="35">
        <f>SUMPRODUCT((--'Satınalma Parçaları'!$A$2:$A$107=--$A100)*'Satınalma Parçaları'!$L$2:$L$107)</f>
        <v>0</v>
      </c>
      <c r="L100" s="36">
        <f>J100+N(K100)</f>
        <v>18.127535484363634</v>
      </c>
      <c r="M100" s="37">
        <f>AE100/100*Parametreler!$B$7</f>
        <v>2.3747500000000001</v>
      </c>
      <c r="N100" s="37">
        <f>AF100/100*Parametreler!$B$8</f>
        <v>4.5824999999999996</v>
      </c>
      <c r="O100" s="37">
        <f>AG100/100*Parametreler!$B$9</f>
        <v>3.7335999999999996</v>
      </c>
      <c r="P100" s="36">
        <f>SUM(M100:O100)</f>
        <v>10.690849999999999</v>
      </c>
      <c r="Q100" s="47"/>
      <c r="R100" s="37">
        <f>IF(E100="Kataforez",N(Q100),IF(E100="Yaş boya",Parametreler!$B$10/MAX(1,ROUND(IF(ISNUMBER(Q100),Q100,Parametreler!$B$11),0)),0))</f>
        <v>0</v>
      </c>
      <c r="S100" s="36">
        <f>L100+P100+R100</f>
        <v>28.818385484363631</v>
      </c>
      <c r="T100" s="39">
        <f>IF(S100=0,0,L100/S100)</f>
        <v>0.62902675426419452</v>
      </c>
      <c r="U100" s="39">
        <f>IF(S100=0,0,P100/S100)</f>
        <v>0.37097324573580548</v>
      </c>
      <c r="V100" s="39">
        <f>IF(S100=0,0,R100/S100)</f>
        <v>0</v>
      </c>
      <c r="W100" s="40">
        <f>SUM(AE100:AG100)/100*F100</f>
        <v>5.3454249999999988</v>
      </c>
      <c r="X100" s="37">
        <f>IF($G100=0,0,J100/$G100)</f>
        <v>0.84862766183060878</v>
      </c>
      <c r="Y100" s="37">
        <f>IF($G100=0,0,S100/$G100)</f>
        <v>1.349112189708517</v>
      </c>
      <c r="Z100" s="41">
        <f>IF($G100=0,0,L100/$G100)</f>
        <v>0.84862766183060878</v>
      </c>
      <c r="AA100" s="36">
        <f>S100*Parametreler!$B$12</f>
        <v>41.21029124263999</v>
      </c>
      <c r="AB100" s="42">
        <f>AA100*F100</f>
        <v>412.10291242639988</v>
      </c>
      <c r="AC100" s="43"/>
      <c r="AD100" s="30"/>
      <c r="AE100" s="44">
        <f>INDEX('İşçilik Özet'!$W$6:$W$200,MATCH($A100&amp;"",'İşçilik Özet'!$A$6:$A$200,0))</f>
        <v>11.873750000000001</v>
      </c>
      <c r="AF100" s="44">
        <f>INDEX('İşçilik Özet'!$X$6:$X$200,MATCH($A100&amp;"",'İşçilik Özet'!$A$6:$A$200,0))</f>
        <v>22.912499999999998</v>
      </c>
      <c r="AG100" s="44">
        <f>INDEX('İşçilik Özet'!$Y$6:$Y$200,MATCH($A100&amp;"",'İşçilik Özet'!$A$6:$A$200,0))</f>
        <v>18.667999999999999</v>
      </c>
      <c r="AH100" s="45">
        <f>(L100+P100)*F100+IF(E100="Kataforez",N(Q100)*F100,IF(E100="Yaş boya",ROUNDUP(F100/MAX(1,ROUND(IF(ISNUMBER(Q100),Q100,Parametreler!$B$11),0)),0)*Parametreler!$B$10,0))</f>
        <v>288.18385484363631</v>
      </c>
    </row>
    <row r="101" spans="1:34" ht="15" customHeight="1" x14ac:dyDescent="0.25">
      <c r="A101" s="30">
        <v>101100</v>
      </c>
      <c r="B101" s="30" t="s">
        <v>236</v>
      </c>
      <c r="C101" s="30" t="s">
        <v>130</v>
      </c>
      <c r="D101" s="30" t="s">
        <v>23</v>
      </c>
      <c r="E101" s="30" t="s">
        <v>124</v>
      </c>
      <c r="F101" s="31">
        <v>13</v>
      </c>
      <c r="G101" s="32">
        <v>8.5649999999999995</v>
      </c>
      <c r="H101" s="33">
        <f>INDEX('Sac Özet'!$L$5:$L$199,MATCH($A101&amp;"",'Sac Özet'!$A$5:$A$199,0))</f>
        <v>6.6965690017465764</v>
      </c>
      <c r="I101" s="33">
        <f>INDEX('Sac Özet'!$M$5:$M$199,MATCH($A101&amp;"",'Sac Özet'!$A$5:$A$199,0))</f>
        <v>1.3664739517465756</v>
      </c>
      <c r="J101" s="34">
        <f>INDEX('Sac Özet'!$N$5:$N$199,MATCH($A101&amp;"",'Sac Özet'!$A$5:$A$199,0))</f>
        <v>4.9100455444620179</v>
      </c>
      <c r="K101" s="35">
        <f>SUMPRODUCT((--'Satınalma Parçaları'!$A$2:$A$107=--$A101)*'Satınalma Parçaları'!$L$2:$L$107)</f>
        <v>0</v>
      </c>
      <c r="L101" s="36">
        <f>J101+N(K101)</f>
        <v>4.9100455444620179</v>
      </c>
      <c r="M101" s="37">
        <f>AE101/100*Parametreler!$B$7</f>
        <v>5.0139999999999993</v>
      </c>
      <c r="N101" s="37">
        <f>AF101/100*Parametreler!$B$8</f>
        <v>5.3324999999999996</v>
      </c>
      <c r="O101" s="37">
        <f>AG101/100*Parametreler!$B$9</f>
        <v>5.6000000000000005</v>
      </c>
      <c r="P101" s="36">
        <f>SUM(M101:O101)</f>
        <v>15.9465</v>
      </c>
      <c r="Q101" s="47"/>
      <c r="R101" s="37">
        <f>IF(E101="Kataforez",N(Q101),IF(E101="Yaş boya",Parametreler!$B$10/MAX(1,ROUND(IF(ISNUMBER(Q101),Q101,Parametreler!$B$11),0)),0))</f>
        <v>0</v>
      </c>
      <c r="S101" s="36">
        <f>L101+P101+R101</f>
        <v>20.856545544462019</v>
      </c>
      <c r="T101" s="39">
        <f>IF(S101=0,0,L101/S101)</f>
        <v>0.23541988456308713</v>
      </c>
      <c r="U101" s="39">
        <f>IF(S101=0,0,P101/S101)</f>
        <v>0.76458011543691284</v>
      </c>
      <c r="V101" s="39">
        <f>IF(S101=0,0,R101/S101)</f>
        <v>0</v>
      </c>
      <c r="W101" s="40">
        <f>SUM(AE101:AG101)/100*F101</f>
        <v>10.365225000000001</v>
      </c>
      <c r="X101" s="37">
        <f>IF($G101=0,0,J101/$G101)</f>
        <v>0.57326859830262911</v>
      </c>
      <c r="Y101" s="37">
        <f>IF($G101=0,0,S101/$G101)</f>
        <v>2.4350899643271475</v>
      </c>
      <c r="Z101" s="41">
        <f>IF($G101=0,0,L101/$G101)</f>
        <v>0.57326859830262911</v>
      </c>
      <c r="AA101" s="36">
        <f>S101*Parametreler!$B$12</f>
        <v>29.824860128580685</v>
      </c>
      <c r="AB101" s="42">
        <f>AA101*F101</f>
        <v>387.7231816715489</v>
      </c>
      <c r="AC101" s="43" t="s">
        <v>237</v>
      </c>
      <c r="AD101" s="30" t="s">
        <v>132</v>
      </c>
      <c r="AE101" s="44">
        <f>INDEX('İşçilik Özet'!$W$6:$W$200,MATCH($A101&amp;"",'İşçilik Özet'!$A$6:$A$200,0))</f>
        <v>25.07</v>
      </c>
      <c r="AF101" s="44">
        <f>INDEX('İşçilik Özet'!$X$6:$X$200,MATCH($A101&amp;"",'İşçilik Özet'!$A$6:$A$200,0))</f>
        <v>26.662499999999998</v>
      </c>
      <c r="AG101" s="44">
        <f>INDEX('İşçilik Özet'!$Y$6:$Y$200,MATCH($A101&amp;"",'İşçilik Özet'!$A$6:$A$200,0))</f>
        <v>28</v>
      </c>
      <c r="AH101" s="45">
        <f>(L101+P101)*F101+IF(E101="Kataforez",N(Q101)*F101,IF(E101="Yaş boya",ROUNDUP(F101/MAX(1,ROUND(IF(ISNUMBER(Q101),Q101,Parametreler!$B$11),0)),0)*Parametreler!$B$10,0))</f>
        <v>271.13509207800627</v>
      </c>
    </row>
    <row r="102" spans="1:34" ht="15" customHeight="1" x14ac:dyDescent="0.25">
      <c r="A102" s="30">
        <v>1162338</v>
      </c>
      <c r="B102" s="30" t="s">
        <v>220</v>
      </c>
      <c r="C102" s="30" t="s">
        <v>139</v>
      </c>
      <c r="D102" s="30" t="s">
        <v>23</v>
      </c>
      <c r="E102" s="30" t="s">
        <v>86</v>
      </c>
      <c r="F102" s="31">
        <v>16</v>
      </c>
      <c r="G102" s="32">
        <v>3.9809999999999999</v>
      </c>
      <c r="H102" s="33">
        <f>INDEX('Sac Özet'!$L$5:$L$199,MATCH($A102&amp;"",'Sac Özet'!$A$5:$A$199,0))</f>
        <v>5.0232138837367453</v>
      </c>
      <c r="I102" s="33">
        <f>INDEX('Sac Özet'!$M$5:$M$199,MATCH($A102&amp;"",'Sac Özet'!$A$5:$A$199,0))</f>
        <v>1.0422433837367457</v>
      </c>
      <c r="J102" s="34">
        <f>INDEX('Sac Özet'!$N$5:$N$199,MATCH($A102&amp;"",'Sac Özet'!$A$5:$A$199,0))</f>
        <v>3.6774732723119161</v>
      </c>
      <c r="K102" s="35">
        <f>SUMPRODUCT((--'Satınalma Parçaları'!$A$2:$A$107=--$A102)*'Satınalma Parçaları'!$L$2:$L$107)</f>
        <v>0</v>
      </c>
      <c r="L102" s="36">
        <f>J102+N(K102)</f>
        <v>3.6774732723119161</v>
      </c>
      <c r="M102" s="37">
        <f>AE102/100*Parametreler!$B$7</f>
        <v>1.3109999999999999</v>
      </c>
      <c r="N102" s="37">
        <f>AF102/100*Parametreler!$B$8</f>
        <v>1.8325</v>
      </c>
      <c r="O102" s="37">
        <f>AG102/100*Parametreler!$B$9</f>
        <v>2.012</v>
      </c>
      <c r="P102" s="36">
        <f>SUM(M102:O102)</f>
        <v>5.1555</v>
      </c>
      <c r="Q102" s="38">
        <f>VLOOKUP($A102,'Yaş Boya Listesi'!$B$6:$L$131,11,FALSE())</f>
        <v>10</v>
      </c>
      <c r="R102" s="37">
        <f>IF(E102="Kataforez",N(Q102),IF(E102="Yaş boya",Parametreler!$B$10/MAX(1,ROUND(IF(ISNUMBER(Q102),Q102,Parametreler!$B$11),0)),0))</f>
        <v>8</v>
      </c>
      <c r="S102" s="36">
        <f>L102+P102+R102</f>
        <v>16.832973272311918</v>
      </c>
      <c r="T102" s="39">
        <f>IF(S102=0,0,L102/S102)</f>
        <v>0.21846843173932248</v>
      </c>
      <c r="U102" s="39">
        <f>IF(S102=0,0,P102/S102)</f>
        <v>0.30627387785853233</v>
      </c>
      <c r="V102" s="39">
        <f>IF(S102=0,0,R102/S102)</f>
        <v>0.47525769040214505</v>
      </c>
      <c r="W102" s="40">
        <f>SUM(AE102:AG102)/100*F102</f>
        <v>4.1243999999999996</v>
      </c>
      <c r="X102" s="37">
        <f>IF($G102=0,0,J102/$G102)</f>
        <v>0.92375615983720583</v>
      </c>
      <c r="Y102" s="37">
        <f>IF($G102=0,0,S102/$G102)</f>
        <v>4.2283278754865403</v>
      </c>
      <c r="Z102" s="41">
        <f>IF($G102=0,0,L102/$G102)</f>
        <v>0.92375615983720583</v>
      </c>
      <c r="AA102" s="36">
        <f>S102*Parametreler!$B$12</f>
        <v>24.071151779406041</v>
      </c>
      <c r="AB102" s="42">
        <f>AA102*F102</f>
        <v>385.13842847049665</v>
      </c>
      <c r="AC102" s="43"/>
      <c r="AD102" s="30" t="s">
        <v>91</v>
      </c>
      <c r="AE102" s="44">
        <f>INDEX('İşçilik Özet'!$W$6:$W$200,MATCH($A102&amp;"",'İşçilik Özet'!$A$6:$A$200,0))</f>
        <v>6.5549999999999997</v>
      </c>
      <c r="AF102" s="44">
        <f>INDEX('İşçilik Özet'!$X$6:$X$200,MATCH($A102&amp;"",'İşçilik Özet'!$A$6:$A$200,0))</f>
        <v>9.1624999999999996</v>
      </c>
      <c r="AG102" s="44">
        <f>INDEX('İşçilik Özet'!$Y$6:$Y$200,MATCH($A102&amp;"",'İşçilik Özet'!$A$6:$A$200,0))</f>
        <v>10.06</v>
      </c>
      <c r="AH102" s="45">
        <f>(L102+P102)*F102+IF(E102="Kataforez",N(Q102)*F102,IF(E102="Yaş boya",ROUNDUP(F102/MAX(1,ROUND(IF(ISNUMBER(Q102),Q102,Parametreler!$B$11),0)),0)*Parametreler!$B$10,0))</f>
        <v>301.32757235699069</v>
      </c>
    </row>
    <row r="103" spans="1:34" ht="15" customHeight="1" x14ac:dyDescent="0.25">
      <c r="A103" s="30">
        <v>1091735</v>
      </c>
      <c r="B103" s="30" t="s">
        <v>331</v>
      </c>
      <c r="C103" s="30" t="s">
        <v>84</v>
      </c>
      <c r="D103" s="30" t="s">
        <v>85</v>
      </c>
      <c r="E103" s="30" t="s">
        <v>124</v>
      </c>
      <c r="F103" s="31">
        <v>10</v>
      </c>
      <c r="G103" s="32">
        <v>23.58</v>
      </c>
      <c r="H103" s="33">
        <f>INDEX('Sac Özet'!$L$5:$L$199,MATCH($A103&amp;"",'Sac Özet'!$A$5:$A$199,0))</f>
        <v>27.795947249999998</v>
      </c>
      <c r="I103" s="33">
        <f>INDEX('Sac Özet'!$M$5:$M$199,MATCH($A103&amp;"",'Sac Özet'!$A$5:$A$199,0))</f>
        <v>4.2301687499999989</v>
      </c>
      <c r="J103" s="34">
        <f>INDEX('Sac Özet'!$N$5:$N$199,MATCH($A103&amp;"",'Sac Özet'!$A$5:$A$199,0))</f>
        <v>20.852338936363637</v>
      </c>
      <c r="K103" s="35">
        <f>SUMPRODUCT((--'Satınalma Parçaları'!$A$2:$A$107=--$A103)*'Satınalma Parçaları'!$L$2:$L$107)</f>
        <v>0</v>
      </c>
      <c r="L103" s="36">
        <f>J103+N(K103)</f>
        <v>20.852338936363637</v>
      </c>
      <c r="M103" s="37">
        <f>AE103/100*Parametreler!$B$7</f>
        <v>0</v>
      </c>
      <c r="N103" s="37">
        <f>AF103/100*Parametreler!$B$8</f>
        <v>2.0825</v>
      </c>
      <c r="O103" s="37">
        <f>AG103/100*Parametreler!$B$9</f>
        <v>4.3927999999999994</v>
      </c>
      <c r="P103" s="36">
        <f>SUM(M103:O103)</f>
        <v>6.4752999999999989</v>
      </c>
      <c r="Q103" s="47"/>
      <c r="R103" s="37">
        <f>IF(E103="Kataforez",N(Q103),IF(E103="Yaş boya",Parametreler!$B$10/MAX(1,ROUND(IF(ISNUMBER(Q103),Q103,Parametreler!$B$11),0)),0))</f>
        <v>0</v>
      </c>
      <c r="S103" s="36">
        <f>L103+P103+R103</f>
        <v>27.327638936363634</v>
      </c>
      <c r="T103" s="39">
        <f>IF(S103=0,0,L103/S103)</f>
        <v>0.76304941619440048</v>
      </c>
      <c r="U103" s="39">
        <f>IF(S103=0,0,P103/S103)</f>
        <v>0.23695058380559963</v>
      </c>
      <c r="V103" s="39">
        <f>IF(S103=0,0,R103/S103)</f>
        <v>0</v>
      </c>
      <c r="W103" s="40">
        <f>SUM(AE103:AG103)/100*F103</f>
        <v>3.2376500000000004</v>
      </c>
      <c r="X103" s="37">
        <f>IF($G103=0,0,J103/$G103)</f>
        <v>0.88432311010872089</v>
      </c>
      <c r="Y103" s="37">
        <f>IF($G103=0,0,S103/$G103)</f>
        <v>1.1589329489552009</v>
      </c>
      <c r="Z103" s="41">
        <f>IF($G103=0,0,L103/$G103)</f>
        <v>0.88432311010872089</v>
      </c>
      <c r="AA103" s="36">
        <f>S103*Parametreler!$B$12</f>
        <v>39.078523678999993</v>
      </c>
      <c r="AB103" s="42">
        <f>AA103*F103</f>
        <v>390.78523678999994</v>
      </c>
      <c r="AC103" s="43"/>
      <c r="AD103" s="30"/>
      <c r="AE103" s="44">
        <f>INDEX('İşçilik Özet'!$W$6:$W$200,MATCH($A103&amp;"",'İşçilik Özet'!$A$6:$A$200,0))</f>
        <v>0</v>
      </c>
      <c r="AF103" s="44">
        <f>INDEX('İşçilik Özet'!$X$6:$X$200,MATCH($A103&amp;"",'İşçilik Özet'!$A$6:$A$200,0))</f>
        <v>10.4125</v>
      </c>
      <c r="AG103" s="44">
        <f>INDEX('İşçilik Özet'!$Y$6:$Y$200,MATCH($A103&amp;"",'İşçilik Özet'!$A$6:$A$200,0))</f>
        <v>21.963999999999999</v>
      </c>
      <c r="AH103" s="45">
        <f>(L103+P103)*F103+IF(E103="Kataforez",N(Q103)*F103,IF(E103="Yaş boya",ROUNDUP(F103/MAX(1,ROUND(IF(ISNUMBER(Q103),Q103,Parametreler!$B$11),0)),0)*Parametreler!$B$10,0))</f>
        <v>273.27638936363633</v>
      </c>
    </row>
    <row r="104" spans="1:34" ht="15" customHeight="1" x14ac:dyDescent="0.25">
      <c r="A104" s="30">
        <v>106943</v>
      </c>
      <c r="B104" s="30" t="s">
        <v>223</v>
      </c>
      <c r="C104" s="30" t="s">
        <v>107</v>
      </c>
      <c r="D104" s="30" t="s">
        <v>23</v>
      </c>
      <c r="E104" s="30" t="s">
        <v>86</v>
      </c>
      <c r="F104" s="31">
        <v>16</v>
      </c>
      <c r="G104" s="32">
        <v>2.9470000000000001</v>
      </c>
      <c r="H104" s="33">
        <f>INDEX('Sac Özet'!$L$5:$L$199,MATCH($A104&amp;"",'Sac Özet'!$A$5:$A$199,0))</f>
        <v>3.7163906604531816</v>
      </c>
      <c r="I104" s="33">
        <f>INDEX('Sac Özet'!$M$5:$M$199,MATCH($A104&amp;"",'Sac Özet'!$A$5:$A$199,0))</f>
        <v>0.76945356045318214</v>
      </c>
      <c r="J104" s="34">
        <f>INDEX('Sac Özet'!$N$5:$N$199,MATCH($A104&amp;"",'Sac Özet'!$A$5:$A$199,0))</f>
        <v>2.7212913631233229</v>
      </c>
      <c r="K104" s="35">
        <f>SUMPRODUCT((--'Satınalma Parçaları'!$A$2:$A$107=--$A104)*'Satınalma Parçaları'!$L$2:$L$107)</f>
        <v>0</v>
      </c>
      <c r="L104" s="36">
        <f>J104+N(K104)</f>
        <v>2.7212913631233229</v>
      </c>
      <c r="M104" s="37">
        <f>AE104/100*Parametreler!$B$7</f>
        <v>1.3109999999999999</v>
      </c>
      <c r="N104" s="37">
        <f>AF104/100*Parametreler!$B$8</f>
        <v>1.8325</v>
      </c>
      <c r="O104" s="37">
        <f>AG104/100*Parametreler!$B$9</f>
        <v>1.6399999999999997</v>
      </c>
      <c r="P104" s="36">
        <f>SUM(M104:O104)</f>
        <v>4.7835000000000001</v>
      </c>
      <c r="Q104" s="38">
        <f>VLOOKUP($A104,'Yaş Boya Listesi'!$B$6:$L$131,11,FALSE())</f>
        <v>10</v>
      </c>
      <c r="R104" s="37">
        <f>IF(E104="Kataforez",N(Q104),IF(E104="Yaş boya",Parametreler!$B$10/MAX(1,ROUND(IF(ISNUMBER(Q104),Q104,Parametreler!$B$11),0)),0))</f>
        <v>8</v>
      </c>
      <c r="S104" s="36">
        <f>L104+P104+R104</f>
        <v>15.504791363123323</v>
      </c>
      <c r="T104" s="39">
        <f>IF(S104=0,0,L104/S104)</f>
        <v>0.17551293012530672</v>
      </c>
      <c r="U104" s="39">
        <f>IF(S104=0,0,P104/S104)</f>
        <v>0.30851753422345957</v>
      </c>
      <c r="V104" s="39">
        <f>IF(S104=0,0,R104/S104)</f>
        <v>0.51596953565123371</v>
      </c>
      <c r="W104" s="40">
        <f>SUM(AE104:AG104)/100*F104</f>
        <v>3.8267999999999995</v>
      </c>
      <c r="X104" s="37">
        <f>IF($G104=0,0,J104/$G104)</f>
        <v>0.9234107102556236</v>
      </c>
      <c r="Y104" s="37">
        <f>IF($G104=0,0,S104/$G104)</f>
        <v>5.2612118639712664</v>
      </c>
      <c r="Z104" s="41">
        <f>IF($G104=0,0,L104/$G104)</f>
        <v>0.9234107102556236</v>
      </c>
      <c r="AA104" s="36">
        <f>S104*Parametreler!$B$12</f>
        <v>22.171851649266351</v>
      </c>
      <c r="AB104" s="42">
        <f>AA104*F104</f>
        <v>354.74962638826162</v>
      </c>
      <c r="AC104" s="43"/>
      <c r="AD104" s="30" t="s">
        <v>91</v>
      </c>
      <c r="AE104" s="44">
        <f>INDEX('İşçilik Özet'!$W$6:$W$200,MATCH($A104&amp;"",'İşçilik Özet'!$A$6:$A$200,0))</f>
        <v>6.5549999999999997</v>
      </c>
      <c r="AF104" s="44">
        <f>INDEX('İşçilik Özet'!$X$6:$X$200,MATCH($A104&amp;"",'İşçilik Özet'!$A$6:$A$200,0))</f>
        <v>9.1624999999999996</v>
      </c>
      <c r="AG104" s="44">
        <f>INDEX('İşçilik Özet'!$Y$6:$Y$200,MATCH($A104&amp;"",'İşçilik Özet'!$A$6:$A$200,0))</f>
        <v>8.1999999999999993</v>
      </c>
      <c r="AH104" s="45">
        <f>(L104+P104)*F104+IF(E104="Kataforez",N(Q104)*F104,IF(E104="Yaş boya",ROUNDUP(F104/MAX(1,ROUND(IF(ISNUMBER(Q104),Q104,Parametreler!$B$11),0)),0)*Parametreler!$B$10,0))</f>
        <v>280.07666180997319</v>
      </c>
    </row>
    <row r="105" spans="1:34" ht="15" customHeight="1" x14ac:dyDescent="0.25">
      <c r="A105" s="30">
        <v>181733</v>
      </c>
      <c r="B105" s="30" t="s">
        <v>332</v>
      </c>
      <c r="C105" s="30" t="s">
        <v>251</v>
      </c>
      <c r="D105" s="30" t="s">
        <v>85</v>
      </c>
      <c r="E105" s="30" t="s">
        <v>124</v>
      </c>
      <c r="F105" s="31">
        <v>10</v>
      </c>
      <c r="G105" s="32">
        <v>23.116</v>
      </c>
      <c r="H105" s="33">
        <f>INDEX('Sac Özet'!$L$5:$L$199,MATCH($A105&amp;"",'Sac Özet'!$A$5:$A$199,0))</f>
        <v>27.275963249999997</v>
      </c>
      <c r="I105" s="33">
        <f>INDEX('Sac Özet'!$M$5:$M$199,MATCH($A105&amp;"",'Sac Özet'!$A$5:$A$199,0))</f>
        <v>4.1708227500000001</v>
      </c>
      <c r="J105" s="34">
        <f>INDEX('Sac Özet'!$N$5:$N$199,MATCH($A105&amp;"",'Sac Özet'!$A$5:$A$199,0))</f>
        <v>20.455774063636362</v>
      </c>
      <c r="K105" s="35">
        <f>SUMPRODUCT((--'Satınalma Parçaları'!$A$2:$A$107=--$A105)*'Satınalma Parçaları'!$L$2:$L$107)</f>
        <v>0</v>
      </c>
      <c r="L105" s="36">
        <f>J105+N(K105)</f>
        <v>20.455774063636362</v>
      </c>
      <c r="M105" s="37">
        <f>AE105/100*Parametreler!$B$7</f>
        <v>0</v>
      </c>
      <c r="N105" s="37">
        <f>AF105/100*Parametreler!$B$8</f>
        <v>2.0825</v>
      </c>
      <c r="O105" s="37">
        <f>AG105/100*Parametreler!$B$9</f>
        <v>4.3927999999999994</v>
      </c>
      <c r="P105" s="36">
        <f>SUM(M105:O105)</f>
        <v>6.4752999999999989</v>
      </c>
      <c r="Q105" s="47"/>
      <c r="R105" s="37">
        <f>IF(E105="Kataforez",N(Q105),IF(E105="Yaş boya",Parametreler!$B$10/MAX(1,ROUND(IF(ISNUMBER(Q105),Q105,Parametreler!$B$11),0)),0))</f>
        <v>0</v>
      </c>
      <c r="S105" s="36">
        <f>L105+P105+R105</f>
        <v>26.931074063636359</v>
      </c>
      <c r="T105" s="39">
        <f>IF(S105=0,0,L105/S105)</f>
        <v>0.75956027655268077</v>
      </c>
      <c r="U105" s="39">
        <f>IF(S105=0,0,P105/S105)</f>
        <v>0.24043972344731926</v>
      </c>
      <c r="V105" s="39">
        <f>IF(S105=0,0,R105/S105)</f>
        <v>0</v>
      </c>
      <c r="W105" s="40">
        <f>SUM(AE105:AG105)/100*F105</f>
        <v>3.2376500000000004</v>
      </c>
      <c r="X105" s="37">
        <f>IF($G105=0,0,J105/$G105)</f>
        <v>0.88491841424279127</v>
      </c>
      <c r="Y105" s="37">
        <f>IF($G105=0,0,S105/$G105)</f>
        <v>1.1650404076672589</v>
      </c>
      <c r="Z105" s="41">
        <f>IF($G105=0,0,L105/$G105)</f>
        <v>0.88491841424279127</v>
      </c>
      <c r="AA105" s="36">
        <f>S105*Parametreler!$B$12</f>
        <v>38.511435910999992</v>
      </c>
      <c r="AB105" s="42">
        <f>AA105*F105</f>
        <v>385.1143591099999</v>
      </c>
      <c r="AC105" s="43"/>
      <c r="AD105" s="30"/>
      <c r="AE105" s="44">
        <f>INDEX('İşçilik Özet'!$W$6:$W$200,MATCH($A105&amp;"",'İşçilik Özet'!$A$6:$A$200,0))</f>
        <v>0</v>
      </c>
      <c r="AF105" s="44">
        <f>INDEX('İşçilik Özet'!$X$6:$X$200,MATCH($A105&amp;"",'İşçilik Özet'!$A$6:$A$200,0))</f>
        <v>10.4125</v>
      </c>
      <c r="AG105" s="44">
        <f>INDEX('İşçilik Özet'!$Y$6:$Y$200,MATCH($A105&amp;"",'İşçilik Özet'!$A$6:$A$200,0))</f>
        <v>21.963999999999999</v>
      </c>
      <c r="AH105" s="45">
        <f>(L105+P105)*F105+IF(E105="Kataforez",N(Q105)*F105,IF(E105="Yaş boya",ROUNDUP(F105/MAX(1,ROUND(IF(ISNUMBER(Q105),Q105,Parametreler!$B$11),0)),0)*Parametreler!$B$10,0))</f>
        <v>269.31074063636356</v>
      </c>
    </row>
    <row r="106" spans="1:34" ht="15" customHeight="1" x14ac:dyDescent="0.25">
      <c r="A106" s="30">
        <v>428929</v>
      </c>
      <c r="B106" s="30" t="s">
        <v>196</v>
      </c>
      <c r="C106" s="30" t="s">
        <v>107</v>
      </c>
      <c r="D106" s="30" t="s">
        <v>23</v>
      </c>
      <c r="E106" s="30" t="s">
        <v>86</v>
      </c>
      <c r="F106" s="31">
        <v>7</v>
      </c>
      <c r="G106" s="32">
        <v>1.635</v>
      </c>
      <c r="H106" s="33">
        <f>INDEX('Sac Özet'!$L$5:$L$199,MATCH($A106&amp;"",'Sac Özet'!$A$5:$A$199,0))</f>
        <v>2.0561209505703419</v>
      </c>
      <c r="I106" s="33">
        <f>INDEX('Sac Özet'!$M$5:$M$199,MATCH($A106&amp;"",'Sac Özet'!$A$5:$A$199,0))</f>
        <v>0.42113865057034205</v>
      </c>
      <c r="J106" s="34">
        <f>INDEX('Sac Özet'!$N$5:$N$199,MATCH($A106&amp;"",'Sac Özet'!$A$5:$A$199,0))</f>
        <v>1.5070695657241617</v>
      </c>
      <c r="K106" s="35">
        <f>SUMPRODUCT((--'Satınalma Parçaları'!$A$2:$A$107=--$A106)*'Satınalma Parçaları'!$L$2:$L$107)</f>
        <v>0</v>
      </c>
      <c r="L106" s="36">
        <f>J106+N(K106)</f>
        <v>1.5070695657241617</v>
      </c>
      <c r="M106" s="37">
        <f>AE106/100*Parametreler!$B$7</f>
        <v>11.476999999999997</v>
      </c>
      <c r="N106" s="37">
        <f>AF106/100*Parametreler!$B$8</f>
        <v>8.3324999999999996</v>
      </c>
      <c r="O106" s="37">
        <f>AG106/100*Parametreler!$B$9</f>
        <v>4.5600000000000005</v>
      </c>
      <c r="P106" s="36">
        <f>SUM(M106:O106)</f>
        <v>24.369499999999995</v>
      </c>
      <c r="Q106" s="38">
        <f>VLOOKUP($A106,'Yaş Boya Listesi'!$B$6:$L$131,11,FALSE())</f>
        <v>10</v>
      </c>
      <c r="R106" s="37">
        <f>IF(E106="Kataforez",N(Q106),IF(E106="Yaş boya",Parametreler!$B$10/MAX(1,ROUND(IF(ISNUMBER(Q106),Q106,Parametreler!$B$11),0)),0))</f>
        <v>8</v>
      </c>
      <c r="S106" s="36">
        <f>L106+P106+R106</f>
        <v>33.876569565724154</v>
      </c>
      <c r="T106" s="39">
        <f>IF(S106=0,0,L106/S106)</f>
        <v>4.4487077205390774E-2</v>
      </c>
      <c r="U106" s="39">
        <f>IF(S106=0,0,P106/S106)</f>
        <v>0.71936150302115354</v>
      </c>
      <c r="V106" s="39">
        <f>IF(S106=0,0,R106/S106)</f>
        <v>0.23615141977345575</v>
      </c>
      <c r="W106" s="40">
        <f>SUM(AE106:AG106)/100*F106</f>
        <v>8.5293249999999983</v>
      </c>
      <c r="X106" s="37">
        <f>IF($G106=0,0,J106/$G106)</f>
        <v>0.9217550860698237</v>
      </c>
      <c r="Y106" s="37">
        <f>IF($G106=0,0,S106/$G106)</f>
        <v>20.719614413286944</v>
      </c>
      <c r="Z106" s="41">
        <f>IF($G106=0,0,L106/$G106)</f>
        <v>0.9217550860698237</v>
      </c>
      <c r="AA106" s="36">
        <f>S106*Parametreler!$B$12</f>
        <v>48.443494478985535</v>
      </c>
      <c r="AB106" s="42">
        <f>AA106*F106</f>
        <v>339.10446135289874</v>
      </c>
      <c r="AC106" s="43"/>
      <c r="AD106" s="30" t="s">
        <v>91</v>
      </c>
      <c r="AE106" s="44">
        <f>INDEX('İşçilik Özet'!$W$6:$W$200,MATCH($A106&amp;"",'İşçilik Özet'!$A$6:$A$200,0))</f>
        <v>57.384999999999991</v>
      </c>
      <c r="AF106" s="44">
        <f>INDEX('İşçilik Özet'!$X$6:$X$200,MATCH($A106&amp;"",'İşçilik Özet'!$A$6:$A$200,0))</f>
        <v>41.662499999999994</v>
      </c>
      <c r="AG106" s="44">
        <f>INDEX('İşçilik Özet'!$Y$6:$Y$200,MATCH($A106&amp;"",'İşçilik Özet'!$A$6:$A$200,0))</f>
        <v>22.8</v>
      </c>
      <c r="AH106" s="45">
        <f>(L106+P106)*F106+IF(E106="Kataforez",N(Q106)*F106,IF(E106="Yaş boya",ROUNDUP(F106/MAX(1,ROUND(IF(ISNUMBER(Q106),Q106,Parametreler!$B$11),0)),0)*Parametreler!$B$10,0))</f>
        <v>261.13598696006909</v>
      </c>
    </row>
    <row r="107" spans="1:34" ht="15" customHeight="1" x14ac:dyDescent="0.25">
      <c r="A107" s="30">
        <v>111837</v>
      </c>
      <c r="B107" s="30" t="s">
        <v>242</v>
      </c>
      <c r="C107" s="30" t="s">
        <v>243</v>
      </c>
      <c r="D107" s="30" t="s">
        <v>85</v>
      </c>
      <c r="E107" s="30" t="s">
        <v>86</v>
      </c>
      <c r="F107" s="31">
        <v>3</v>
      </c>
      <c r="G107" s="32">
        <v>27.72</v>
      </c>
      <c r="H107" s="33">
        <f>INDEX('Sac Özet'!$L$5:$L$199,MATCH($A107&amp;"",'Sac Özet'!$A$5:$A$199,0))</f>
        <v>28.964537499999999</v>
      </c>
      <c r="I107" s="33">
        <f>INDEX('Sac Özet'!$M$5:$M$199,MATCH($A107&amp;"",'Sac Özet'!$A$5:$A$199,0))</f>
        <v>1.2349933999999991</v>
      </c>
      <c r="J107" s="34">
        <f>INDEX('Sac Özet'!$N$5:$N$199,MATCH($A107&amp;"",'Sac Özet'!$A$5:$A$199,0))</f>
        <v>22.767450341818183</v>
      </c>
      <c r="K107" s="35">
        <f>SUMPRODUCT((--'Satınalma Parçaları'!$A$2:$A$107=--$A107)*'Satınalma Parçaları'!$L$2:$L$107)</f>
        <v>0</v>
      </c>
      <c r="L107" s="36">
        <f>J107+N(K107)</f>
        <v>22.767450341818183</v>
      </c>
      <c r="M107" s="37">
        <f>AE107/100*Parametreler!$B$7</f>
        <v>2.1447500000000002</v>
      </c>
      <c r="N107" s="37">
        <f>AF107/100*Parametreler!$B$8</f>
        <v>4</v>
      </c>
      <c r="O107" s="37">
        <f>AG107/100*Parametreler!$B$9</f>
        <v>9.5481999999999996</v>
      </c>
      <c r="P107" s="36">
        <f>SUM(M107:O107)</f>
        <v>15.69295</v>
      </c>
      <c r="Q107" s="38">
        <f>VLOOKUP($A107,'Yaş Boya Listesi'!$B$6:$L$131,11,FALSE())</f>
        <v>2</v>
      </c>
      <c r="R107" s="37">
        <f>IF(E107="Kataforez",N(Q107),IF(E107="Yaş boya",Parametreler!$B$10/MAX(1,ROUND(IF(ISNUMBER(Q107),Q107,Parametreler!$B$11),0)),0))</f>
        <v>40</v>
      </c>
      <c r="S107" s="36">
        <f>L107+P107+R107</f>
        <v>78.460400341818186</v>
      </c>
      <c r="T107" s="39">
        <f>IF(S107=0,0,L107/S107)</f>
        <v>0.29017759586530534</v>
      </c>
      <c r="U107" s="39">
        <f>IF(S107=0,0,P107/S107)</f>
        <v>0.20001108752482236</v>
      </c>
      <c r="V107" s="39">
        <f>IF(S107=0,0,R107/S107)</f>
        <v>0.50981131660987222</v>
      </c>
      <c r="W107" s="40">
        <f>SUM(AE107:AG107)/100*F107</f>
        <v>2.3539425</v>
      </c>
      <c r="X107" s="37">
        <f>IF($G107=0,0,J107/$G107)</f>
        <v>0.82133659241768342</v>
      </c>
      <c r="Y107" s="37">
        <f>IF($G107=0,0,S107/$G107)</f>
        <v>2.830461772792864</v>
      </c>
      <c r="Z107" s="41">
        <f>IF($G107=0,0,L107/$G107)</f>
        <v>0.82133659241768342</v>
      </c>
      <c r="AA107" s="36">
        <f>S107*Parametreler!$B$12</f>
        <v>112.1983724888</v>
      </c>
      <c r="AB107" s="42">
        <f>AA107*F107</f>
        <v>336.59511746639998</v>
      </c>
      <c r="AC107" s="43"/>
      <c r="AD107" s="30"/>
      <c r="AE107" s="44">
        <f>INDEX('İşçilik Özet'!$W$6:$W$200,MATCH($A107&amp;"",'İşçilik Özet'!$A$6:$A$200,0))</f>
        <v>10.723750000000001</v>
      </c>
      <c r="AF107" s="44">
        <f>INDEX('İşçilik Özet'!$X$6:$X$200,MATCH($A107&amp;"",'İşçilik Özet'!$A$6:$A$200,0))</f>
        <v>20</v>
      </c>
      <c r="AG107" s="44">
        <f>INDEX('İşçilik Özet'!$Y$6:$Y$200,MATCH($A107&amp;"",'İşçilik Özet'!$A$6:$A$200,0))</f>
        <v>47.741</v>
      </c>
      <c r="AH107" s="45">
        <f>(L107+P107)*F107+IF(E107="Kataforez",N(Q107)*F107,IF(E107="Yaş boya",ROUNDUP(F107/MAX(1,ROUND(IF(ISNUMBER(Q107),Q107,Parametreler!$B$11),0)),0)*Parametreler!$B$10,0))</f>
        <v>275.38120102545457</v>
      </c>
    </row>
    <row r="108" spans="1:34" ht="15" customHeight="1" x14ac:dyDescent="0.25">
      <c r="A108" s="30">
        <v>111838</v>
      </c>
      <c r="B108" s="30" t="s">
        <v>244</v>
      </c>
      <c r="C108" s="30" t="s">
        <v>93</v>
      </c>
      <c r="D108" s="30" t="s">
        <v>85</v>
      </c>
      <c r="E108" s="30" t="s">
        <v>86</v>
      </c>
      <c r="F108" s="31">
        <v>3</v>
      </c>
      <c r="G108" s="32">
        <v>27.72</v>
      </c>
      <c r="H108" s="33">
        <f>INDEX('Sac Özet'!$L$5:$L$199,MATCH($A108&amp;"",'Sac Özet'!$A$5:$A$199,0))</f>
        <v>28.964537499999999</v>
      </c>
      <c r="I108" s="33">
        <f>INDEX('Sac Özet'!$M$5:$M$199,MATCH($A108&amp;"",'Sac Özet'!$A$5:$A$199,0))</f>
        <v>1.234679399999999</v>
      </c>
      <c r="J108" s="34">
        <f>INDEX('Sac Özet'!$N$5:$N$199,MATCH($A108&amp;"",'Sac Özet'!$A$5:$A$199,0))</f>
        <v>22.767553105454542</v>
      </c>
      <c r="K108" s="35">
        <f>SUMPRODUCT((--'Satınalma Parçaları'!$A$2:$A$107=--$A108)*'Satınalma Parçaları'!$L$2:$L$107)</f>
        <v>0</v>
      </c>
      <c r="L108" s="36">
        <f>J108+N(K108)</f>
        <v>22.767553105454542</v>
      </c>
      <c r="M108" s="37">
        <f>AE108/100*Parametreler!$B$7</f>
        <v>2.1447500000000002</v>
      </c>
      <c r="N108" s="37">
        <f>AF108/100*Parametreler!$B$8</f>
        <v>4</v>
      </c>
      <c r="O108" s="37">
        <f>AG108/100*Parametreler!$B$9</f>
        <v>9.3214000000000006</v>
      </c>
      <c r="P108" s="36">
        <f>SUM(M108:O108)</f>
        <v>15.466150000000001</v>
      </c>
      <c r="Q108" s="38">
        <f>VLOOKUP($A108,'Yaş Boya Listesi'!$B$6:$L$131,11,FALSE())</f>
        <v>2</v>
      </c>
      <c r="R108" s="37">
        <f>IF(E108="Kataforez",N(Q108),IF(E108="Yaş boya",Parametreler!$B$10/MAX(1,ROUND(IF(ISNUMBER(Q108),Q108,Parametreler!$B$11),0)),0))</f>
        <v>40</v>
      </c>
      <c r="S108" s="36">
        <f>L108+P108+R108</f>
        <v>78.233703105454538</v>
      </c>
      <c r="T108" s="39">
        <f>IF(S108=0,0,L108/S108)</f>
        <v>0.29101975493560861</v>
      </c>
      <c r="U108" s="39">
        <f>IF(S108=0,0,P108/S108)</f>
        <v>0.19769165188502605</v>
      </c>
      <c r="V108" s="39">
        <f>IF(S108=0,0,R108/S108)</f>
        <v>0.51128859317936537</v>
      </c>
      <c r="W108" s="40">
        <f>SUM(AE108:AG108)/100*F108</f>
        <v>2.3199224999999997</v>
      </c>
      <c r="X108" s="37">
        <f>IF($G108=0,0,J108/$G108)</f>
        <v>0.82134029961957222</v>
      </c>
      <c r="Y108" s="37">
        <f>IF($G108=0,0,S108/$G108)</f>
        <v>2.8222836618129343</v>
      </c>
      <c r="Z108" s="41">
        <f>IF($G108=0,0,L108/$G108)</f>
        <v>0.82134029961957222</v>
      </c>
      <c r="AA108" s="36">
        <f>S108*Parametreler!$B$12</f>
        <v>111.87419544079998</v>
      </c>
      <c r="AB108" s="42">
        <f>AA108*F108</f>
        <v>335.62258632239991</v>
      </c>
      <c r="AC108" s="43"/>
      <c r="AD108" s="30"/>
      <c r="AE108" s="44">
        <f>INDEX('İşçilik Özet'!$W$6:$W$200,MATCH($A108&amp;"",'İşçilik Özet'!$A$6:$A$200,0))</f>
        <v>10.723750000000001</v>
      </c>
      <c r="AF108" s="44">
        <f>INDEX('İşçilik Özet'!$X$6:$X$200,MATCH($A108&amp;"",'İşçilik Özet'!$A$6:$A$200,0))</f>
        <v>20</v>
      </c>
      <c r="AG108" s="44">
        <f>INDEX('İşçilik Özet'!$Y$6:$Y$200,MATCH($A108&amp;"",'İşçilik Özet'!$A$6:$A$200,0))</f>
        <v>46.606999999999999</v>
      </c>
      <c r="AH108" s="45">
        <f>(L108+P108)*F108+IF(E108="Kataforez",N(Q108)*F108,IF(E108="Yaş boya",ROUNDUP(F108/MAX(1,ROUND(IF(ISNUMBER(Q108),Q108,Parametreler!$B$11),0)),0)*Parametreler!$B$10,0))</f>
        <v>274.70110931636361</v>
      </c>
    </row>
    <row r="109" spans="1:34" ht="15" customHeight="1" x14ac:dyDescent="0.25">
      <c r="A109" s="30">
        <v>147808</v>
      </c>
      <c r="B109" s="30" t="s">
        <v>217</v>
      </c>
      <c r="C109" s="30" t="s">
        <v>194</v>
      </c>
      <c r="D109" s="30" t="s">
        <v>23</v>
      </c>
      <c r="E109" s="30" t="s">
        <v>86</v>
      </c>
      <c r="F109" s="31">
        <v>13</v>
      </c>
      <c r="G109" s="32">
        <v>5.77</v>
      </c>
      <c r="H109" s="33">
        <f>INDEX('Sac Özet'!$L$5:$L$199,MATCH($A109&amp;"",'Sac Özet'!$A$5:$A$199,0))</f>
        <v>2.4390141463414632</v>
      </c>
      <c r="I109" s="33">
        <f>INDEX('Sac Özet'!$M$5:$M$199,MATCH($A109&amp;"",'Sac Özet'!$A$5:$A$199,0))</f>
        <v>0.4390225463414632</v>
      </c>
      <c r="J109" s="34">
        <f>INDEX('Sac Özet'!$N$5:$N$199,MATCH($A109&amp;"",'Sac Özet'!$A$5:$A$199,0))</f>
        <v>1.8075312109977826</v>
      </c>
      <c r="K109" s="35">
        <f>SUMPRODUCT((--'Satınalma Parçaları'!$A$2:$A$107=--$A109)*'Satınalma Parçaları'!$L$2:$L$107)</f>
        <v>0</v>
      </c>
      <c r="L109" s="36">
        <f>J109+N(K109)</f>
        <v>1.8075312109977826</v>
      </c>
      <c r="M109" s="37">
        <f>AE109/100*Parametreler!$B$7</f>
        <v>0</v>
      </c>
      <c r="N109" s="37">
        <f>AF109/100*Parametreler!$B$8</f>
        <v>2.8325</v>
      </c>
      <c r="O109" s="37">
        <f>AG109/100*Parametreler!$B$9</f>
        <v>4.04</v>
      </c>
      <c r="P109" s="36">
        <f>SUM(M109:O109)</f>
        <v>6.8725000000000005</v>
      </c>
      <c r="Q109" s="38">
        <f>VLOOKUP($A109,'Yaş Boya Listesi'!$B$6:$L$131,11,FALSE())</f>
        <v>10</v>
      </c>
      <c r="R109" s="37">
        <f>IF(E109="Kataforez",N(Q109),IF(E109="Yaş boya",Parametreler!$B$10/MAX(1,ROUND(IF(ISNUMBER(Q109),Q109,Parametreler!$B$11),0)),0))</f>
        <v>8</v>
      </c>
      <c r="S109" s="36">
        <f>L109+P109+R109</f>
        <v>16.680031210997782</v>
      </c>
      <c r="T109" s="39">
        <f>IF(S109=0,0,L109/S109)</f>
        <v>0.10836497774692461</v>
      </c>
      <c r="U109" s="39">
        <f>IF(S109=0,0,P109/S109)</f>
        <v>0.4120196127372171</v>
      </c>
      <c r="V109" s="39">
        <f>IF(S109=0,0,R109/S109)</f>
        <v>0.47961540951585835</v>
      </c>
      <c r="W109" s="40">
        <f>SUM(AE109:AG109)/100*F109</f>
        <v>4.4671249999999993</v>
      </c>
      <c r="X109" s="37">
        <f>IF($G109=0,0,J109/$G109)</f>
        <v>0.31326364142075958</v>
      </c>
      <c r="Y109" s="37">
        <f>IF($G109=0,0,S109/$G109)</f>
        <v>2.8908199672439832</v>
      </c>
      <c r="Z109" s="41">
        <f>IF($G109=0,0,L109/$G109)</f>
        <v>0.31326364142075958</v>
      </c>
      <c r="AA109" s="36">
        <f>S109*Parametreler!$B$12</f>
        <v>23.852444631726829</v>
      </c>
      <c r="AB109" s="42">
        <f>AA109*F109</f>
        <v>310.08178021244879</v>
      </c>
      <c r="AC109" s="43" t="s">
        <v>218</v>
      </c>
      <c r="AD109" s="30" t="s">
        <v>132</v>
      </c>
      <c r="AE109" s="44">
        <f>INDEX('İşçilik Özet'!$W$6:$W$200,MATCH($A109&amp;"",'İşçilik Özet'!$A$6:$A$200,0))</f>
        <v>0</v>
      </c>
      <c r="AF109" s="44">
        <f>INDEX('İşçilik Özet'!$X$6:$X$200,MATCH($A109&amp;"",'İşçilik Özet'!$A$6:$A$200,0))</f>
        <v>14.1625</v>
      </c>
      <c r="AG109" s="44">
        <f>INDEX('İşçilik Özet'!$Y$6:$Y$200,MATCH($A109&amp;"",'İşçilik Özet'!$A$6:$A$200,0))</f>
        <v>20.2</v>
      </c>
      <c r="AH109" s="45">
        <f>(L109+P109)*F109+IF(E109="Kataforez",N(Q109)*F109,IF(E109="Yaş boya",ROUNDUP(F109/MAX(1,ROUND(IF(ISNUMBER(Q109),Q109,Parametreler!$B$11),0)),0)*Parametreler!$B$10,0))</f>
        <v>272.84040574297114</v>
      </c>
    </row>
    <row r="110" spans="1:34" ht="15" customHeight="1" x14ac:dyDescent="0.25">
      <c r="A110" s="30">
        <v>109670</v>
      </c>
      <c r="B110" s="30" t="s">
        <v>228</v>
      </c>
      <c r="C110" s="30" t="s">
        <v>119</v>
      </c>
      <c r="D110" s="30" t="s">
        <v>23</v>
      </c>
      <c r="E110" s="30" t="s">
        <v>86</v>
      </c>
      <c r="F110" s="31">
        <v>16</v>
      </c>
      <c r="G110" s="32">
        <v>1.571</v>
      </c>
      <c r="H110" s="33">
        <f>INDEX('Sac Özet'!$L$5:$L$199,MATCH($A110&amp;"",'Sac Özet'!$A$5:$A$199,0))</f>
        <v>1.9819529498593462</v>
      </c>
      <c r="I110" s="33">
        <f>INDEX('Sac Özet'!$M$5:$M$199,MATCH($A110&amp;"",'Sac Özet'!$A$5:$A$199,0))</f>
        <v>0.4109716998593464</v>
      </c>
      <c r="J110" s="34">
        <f>INDEX('Sac Özet'!$N$5:$N$199,MATCH($A110&amp;"",'Sac Özet'!$A$5:$A$199,0))</f>
        <v>1.4510625308426002</v>
      </c>
      <c r="K110" s="35">
        <f>SUMPRODUCT((--'Satınalma Parçaları'!$A$2:$A$107=--$A110)*'Satınalma Parçaları'!$L$2:$L$107)</f>
        <v>0</v>
      </c>
      <c r="L110" s="36">
        <f>J110+N(K110)</f>
        <v>1.4510625308426002</v>
      </c>
      <c r="M110" s="37">
        <f>AE110/100*Parametreler!$B$7</f>
        <v>1.3109999999999999</v>
      </c>
      <c r="N110" s="37">
        <f>AF110/100*Parametreler!$B$8</f>
        <v>1.8325</v>
      </c>
      <c r="O110" s="37">
        <f>AG110/100*Parametreler!$B$9</f>
        <v>0.84000000000000008</v>
      </c>
      <c r="P110" s="36">
        <f>SUM(M110:O110)</f>
        <v>3.9835000000000003</v>
      </c>
      <c r="Q110" s="38">
        <f>VLOOKUP($A110,'Yaş Boya Listesi'!$B$6:$L$131,11,FALSE())</f>
        <v>10</v>
      </c>
      <c r="R110" s="37">
        <f>IF(E110="Kataforez",N(Q110),IF(E110="Yaş boya",Parametreler!$B$10/MAX(1,ROUND(IF(ISNUMBER(Q110),Q110,Parametreler!$B$11),0)),0))</f>
        <v>8</v>
      </c>
      <c r="S110" s="36">
        <f>L110+P110+R110</f>
        <v>13.434562530842602</v>
      </c>
      <c r="T110" s="39">
        <f>IF(S110=0,0,L110/S110)</f>
        <v>0.10800965997302117</v>
      </c>
      <c r="U110" s="39">
        <f>IF(S110=0,0,P110/S110)</f>
        <v>0.29651132970313099</v>
      </c>
      <c r="V110" s="39">
        <f>IF(S110=0,0,R110/S110)</f>
        <v>0.59547901032384776</v>
      </c>
      <c r="W110" s="40">
        <f>SUM(AE110:AG110)/100*F110</f>
        <v>3.1867999999999999</v>
      </c>
      <c r="X110" s="37">
        <f>IF($G110=0,0,J110/$G110)</f>
        <v>0.92365533471839611</v>
      </c>
      <c r="Y110" s="37">
        <f>IF($G110=0,0,S110/$G110)</f>
        <v>8.5515993194415039</v>
      </c>
      <c r="Z110" s="41">
        <f>IF($G110=0,0,L110/$G110)</f>
        <v>0.92365533471839611</v>
      </c>
      <c r="AA110" s="36">
        <f>S110*Parametreler!$B$12</f>
        <v>19.211424419104919</v>
      </c>
      <c r="AB110" s="42">
        <f>AA110*F110</f>
        <v>307.3827907056787</v>
      </c>
      <c r="AC110" s="43"/>
      <c r="AD110" s="30" t="s">
        <v>91</v>
      </c>
      <c r="AE110" s="44">
        <f>INDEX('İşçilik Özet'!$W$6:$W$200,MATCH($A110&amp;"",'İşçilik Özet'!$A$6:$A$200,0))</f>
        <v>6.5549999999999997</v>
      </c>
      <c r="AF110" s="44">
        <f>INDEX('İşçilik Özet'!$X$6:$X$200,MATCH($A110&amp;"",'İşçilik Özet'!$A$6:$A$200,0))</f>
        <v>9.1624999999999996</v>
      </c>
      <c r="AG110" s="44">
        <f>INDEX('İşçilik Özet'!$Y$6:$Y$200,MATCH($A110&amp;"",'İşçilik Özet'!$A$6:$A$200,0))</f>
        <v>4.2</v>
      </c>
      <c r="AH110" s="45">
        <f>(L110+P110)*F110+IF(E110="Kataforez",N(Q110)*F110,IF(E110="Yaş boya",ROUNDUP(F110/MAX(1,ROUND(IF(ISNUMBER(Q110),Q110,Parametreler!$B$11),0)),0)*Parametreler!$B$10,0))</f>
        <v>246.95300049348162</v>
      </c>
    </row>
    <row r="111" spans="1:34" ht="15" customHeight="1" x14ac:dyDescent="0.25">
      <c r="A111" s="30">
        <v>110030</v>
      </c>
      <c r="B111" s="30" t="s">
        <v>230</v>
      </c>
      <c r="C111" s="30" t="s">
        <v>194</v>
      </c>
      <c r="D111" s="30" t="s">
        <v>23</v>
      </c>
      <c r="E111" s="30" t="s">
        <v>86</v>
      </c>
      <c r="F111" s="31">
        <v>16</v>
      </c>
      <c r="G111" s="32">
        <v>1.2529999999999999</v>
      </c>
      <c r="H111" s="33">
        <f>INDEX('Sac Özet'!$L$5:$L$199,MATCH($A111&amp;"",'Sac Özet'!$A$5:$A$199,0))</f>
        <v>1.5681746062474879</v>
      </c>
      <c r="I111" s="33">
        <f>INDEX('Sac Özet'!$M$5:$M$199,MATCH($A111&amp;"",'Sac Özet'!$A$5:$A$199,0))</f>
        <v>0.31515760624748823</v>
      </c>
      <c r="J111" s="34">
        <f>INDEX('Sac Özet'!$N$5:$N$199,MATCH($A111&amp;"",'Sac Özet'!$A$5:$A$199,0))</f>
        <v>1.151397195680631</v>
      </c>
      <c r="K111" s="35">
        <f>SUMPRODUCT((--'Satınalma Parçaları'!$A$2:$A$107=--$A111)*'Satınalma Parçaları'!$L$2:$L$107)</f>
        <v>0</v>
      </c>
      <c r="L111" s="36">
        <f>J111+N(K111)</f>
        <v>1.151397195680631</v>
      </c>
      <c r="M111" s="37">
        <f>AE111/100*Parametreler!$B$7</f>
        <v>1.3109999999999999</v>
      </c>
      <c r="N111" s="37">
        <f>AF111/100*Parametreler!$B$8</f>
        <v>2.0825</v>
      </c>
      <c r="O111" s="37">
        <f>AG111/100*Parametreler!$B$9</f>
        <v>0.56799999999999995</v>
      </c>
      <c r="P111" s="36">
        <f>SUM(M111:O111)</f>
        <v>3.9615</v>
      </c>
      <c r="Q111" s="38">
        <f>VLOOKUP($A111,'Yaş Boya Listesi'!$B$6:$L$131,11,FALSE())</f>
        <v>10</v>
      </c>
      <c r="R111" s="37">
        <f>IF(E111="Kataforez",N(Q111),IF(E111="Yaş boya",Parametreler!$B$10/MAX(1,ROUND(IF(ISNUMBER(Q111),Q111,Parametreler!$B$11),0)),0))</f>
        <v>8</v>
      </c>
      <c r="S111" s="36">
        <f>L111+P111+R111</f>
        <v>13.112897195680631</v>
      </c>
      <c r="T111" s="39">
        <f>IF(S111=0,0,L111/S111)</f>
        <v>8.7806468585744701E-2</v>
      </c>
      <c r="U111" s="39">
        <f>IF(S111=0,0,P111/S111)</f>
        <v>0.30210714999770699</v>
      </c>
      <c r="V111" s="39">
        <f>IF(S111=0,0,R111/S111)</f>
        <v>0.61008638141654825</v>
      </c>
      <c r="W111" s="40">
        <f>SUM(AE111:AG111)/100*F111</f>
        <v>3.1692</v>
      </c>
      <c r="X111" s="37">
        <f>IF($G111=0,0,J111/$G111)</f>
        <v>0.91891236686403122</v>
      </c>
      <c r="Y111" s="37">
        <f>IF($G111=0,0,S111/$G111)</f>
        <v>10.465201273488134</v>
      </c>
      <c r="Z111" s="41">
        <f>IF($G111=0,0,L111/$G111)</f>
        <v>0.91891236686403122</v>
      </c>
      <c r="AA111" s="36">
        <f>S111*Parametreler!$B$12</f>
        <v>18.751442989823303</v>
      </c>
      <c r="AB111" s="42">
        <f>AA111*F111</f>
        <v>300.02308783717285</v>
      </c>
      <c r="AC111" s="43"/>
      <c r="AD111" s="30" t="s">
        <v>91</v>
      </c>
      <c r="AE111" s="44">
        <f>INDEX('İşçilik Özet'!$W$6:$W$200,MATCH($A111&amp;"",'İşçilik Özet'!$A$6:$A$200,0))</f>
        <v>6.5549999999999997</v>
      </c>
      <c r="AF111" s="44">
        <f>INDEX('İşçilik Özet'!$X$6:$X$200,MATCH($A111&amp;"",'İşçilik Özet'!$A$6:$A$200,0))</f>
        <v>10.4125</v>
      </c>
      <c r="AG111" s="44">
        <f>INDEX('İşçilik Özet'!$Y$6:$Y$200,MATCH($A111&amp;"",'İşçilik Özet'!$A$6:$A$200,0))</f>
        <v>2.84</v>
      </c>
      <c r="AH111" s="45">
        <f>(L111+P111)*F111+IF(E111="Kataforez",N(Q111)*F111,IF(E111="Yaş boya",ROUNDUP(F111/MAX(1,ROUND(IF(ISNUMBER(Q111),Q111,Parametreler!$B$11),0)),0)*Parametreler!$B$10,0))</f>
        <v>241.8063551308901</v>
      </c>
    </row>
    <row r="112" spans="1:34" ht="15" customHeight="1" x14ac:dyDescent="0.25">
      <c r="A112" s="30">
        <v>110479</v>
      </c>
      <c r="B112" s="30" t="s">
        <v>279</v>
      </c>
      <c r="C112" s="30" t="s">
        <v>130</v>
      </c>
      <c r="D112" s="30" t="s">
        <v>23</v>
      </c>
      <c r="E112" s="30" t="s">
        <v>124</v>
      </c>
      <c r="F112" s="31">
        <v>69</v>
      </c>
      <c r="G112" s="32">
        <v>3.79</v>
      </c>
      <c r="H112" s="33">
        <f>INDEX('Sac Özet'!$L$5:$L$199,MATCH($A112&amp;"",'Sac Özet'!$A$5:$A$199,0))</f>
        <v>0.67682317073170728</v>
      </c>
      <c r="I112" s="33">
        <f>INDEX('Sac Özet'!$M$5:$M$199,MATCH($A112&amp;"",'Sac Özet'!$A$5:$A$199,0))</f>
        <v>0.12182817073170724</v>
      </c>
      <c r="J112" s="34">
        <f>INDEX('Sac Özet'!$N$5:$N$199,MATCH($A112&amp;"",'Sac Özet'!$A$5:$A$199,0))</f>
        <v>0.50158749889135257</v>
      </c>
      <c r="K112" s="35">
        <f>SUMPRODUCT((--'Satınalma Parçaları'!$A$2:$A$107=--$A112)*'Satınalma Parçaları'!$L$2:$L$107)</f>
        <v>0</v>
      </c>
      <c r="L112" s="36">
        <f>J112+N(K112)</f>
        <v>0.50158749889135257</v>
      </c>
      <c r="M112" s="37">
        <f>AE112/100*Parametreler!$B$7</f>
        <v>0</v>
      </c>
      <c r="N112" s="37">
        <f>AF112/100*Parametreler!$B$8</f>
        <v>1.8325</v>
      </c>
      <c r="O112" s="37">
        <f>AG112/100*Parametreler!$B$9</f>
        <v>0.624</v>
      </c>
      <c r="P112" s="36">
        <f>SUM(M112:O112)</f>
        <v>2.4565000000000001</v>
      </c>
      <c r="Q112" s="47"/>
      <c r="R112" s="37">
        <f>IF(E112="Kataforez",N(Q112),IF(E112="Yaş boya",Parametreler!$B$10/MAX(1,ROUND(IF(ISNUMBER(Q112),Q112,Parametreler!$B$11),0)),0))</f>
        <v>0</v>
      </c>
      <c r="S112" s="36">
        <f>L112+P112+R112</f>
        <v>2.9580874988913526</v>
      </c>
      <c r="T112" s="39">
        <f>IF(S112=0,0,L112/S112)</f>
        <v>0.16956479450974324</v>
      </c>
      <c r="U112" s="39">
        <f>IF(S112=0,0,P112/S112)</f>
        <v>0.83043520549025673</v>
      </c>
      <c r="V112" s="39">
        <f>IF(S112=0,0,R112/S112)</f>
        <v>0</v>
      </c>
      <c r="W112" s="40">
        <f>SUM(AE112:AG112)/100*F112</f>
        <v>8.4749249999999989</v>
      </c>
      <c r="X112" s="37">
        <f>IF($G112=0,0,J112/$G112)</f>
        <v>0.13234498651486876</v>
      </c>
      <c r="Y112" s="37">
        <f>IF($G112=0,0,S112/$G112)</f>
        <v>0.78049802081566033</v>
      </c>
      <c r="Z112" s="41">
        <f>IF($G112=0,0,L112/$G112)</f>
        <v>0.13234498651486876</v>
      </c>
      <c r="AA112" s="36">
        <f>S112*Parametreler!$B$12</f>
        <v>4.2300651234146338</v>
      </c>
      <c r="AB112" s="42">
        <f>AA112*F112</f>
        <v>291.87449351560974</v>
      </c>
      <c r="AC112" s="43" t="s">
        <v>280</v>
      </c>
      <c r="AD112" s="30" t="s">
        <v>96</v>
      </c>
      <c r="AE112" s="44">
        <f>INDEX('İşçilik Özet'!$W$6:$W$200,MATCH($A112&amp;"",'İşçilik Özet'!$A$6:$A$200,0))</f>
        <v>0</v>
      </c>
      <c r="AF112" s="44">
        <f>INDEX('İşçilik Özet'!$X$6:$X$200,MATCH($A112&amp;"",'İşçilik Özet'!$A$6:$A$200,0))</f>
        <v>9.1624999999999996</v>
      </c>
      <c r="AG112" s="44">
        <f>INDEX('İşçilik Özet'!$Y$6:$Y$200,MATCH($A112&amp;"",'İşçilik Özet'!$A$6:$A$200,0))</f>
        <v>3.12</v>
      </c>
      <c r="AH112" s="45">
        <f>(L112+P112)*F112+IF(E112="Kataforez",N(Q112)*F112,IF(E112="Yaş boya",ROUNDUP(F112/MAX(1,ROUND(IF(ISNUMBER(Q112),Q112,Parametreler!$B$11),0)),0)*Parametreler!$B$10,0))</f>
        <v>204.10803742350333</v>
      </c>
    </row>
    <row r="113" spans="1:34" ht="15" customHeight="1" x14ac:dyDescent="0.25">
      <c r="A113" s="30">
        <v>110429</v>
      </c>
      <c r="B113" s="30" t="s">
        <v>281</v>
      </c>
      <c r="C113" s="30" t="s">
        <v>90</v>
      </c>
      <c r="D113" s="30" t="s">
        <v>23</v>
      </c>
      <c r="E113" s="30" t="s">
        <v>124</v>
      </c>
      <c r="F113" s="31">
        <v>69</v>
      </c>
      <c r="G113" s="32">
        <v>3.79</v>
      </c>
      <c r="H113" s="33">
        <f>INDEX('Sac Özet'!$L$5:$L$199,MATCH($A113&amp;"",'Sac Özet'!$A$5:$A$199,0))</f>
        <v>0.67682317073170728</v>
      </c>
      <c r="I113" s="33">
        <f>INDEX('Sac Özet'!$M$5:$M$199,MATCH($A113&amp;"",'Sac Özet'!$A$5:$A$199,0))</f>
        <v>0.12182817073170724</v>
      </c>
      <c r="J113" s="34">
        <f>INDEX('Sac Özet'!$N$5:$N$199,MATCH($A113&amp;"",'Sac Özet'!$A$5:$A$199,0))</f>
        <v>0.50158749889135257</v>
      </c>
      <c r="K113" s="35">
        <f>SUMPRODUCT((--'Satınalma Parçaları'!$A$2:$A$107=--$A113)*'Satınalma Parçaları'!$L$2:$L$107)</f>
        <v>0</v>
      </c>
      <c r="L113" s="36">
        <f>J113+N(K113)</f>
        <v>0.50158749889135257</v>
      </c>
      <c r="M113" s="37">
        <f>AE113/100*Parametreler!$B$7</f>
        <v>0</v>
      </c>
      <c r="N113" s="37">
        <f>AF113/100*Parametreler!$B$8</f>
        <v>1.8325</v>
      </c>
      <c r="O113" s="37">
        <f>AG113/100*Parametreler!$B$9</f>
        <v>0.624</v>
      </c>
      <c r="P113" s="36">
        <f>SUM(M113:O113)</f>
        <v>2.4565000000000001</v>
      </c>
      <c r="Q113" s="47"/>
      <c r="R113" s="37">
        <f>IF(E113="Kataforez",N(Q113),IF(E113="Yaş boya",Parametreler!$B$10/MAX(1,ROUND(IF(ISNUMBER(Q113),Q113,Parametreler!$B$11),0)),0))</f>
        <v>0</v>
      </c>
      <c r="S113" s="36">
        <f>L113+P113+R113</f>
        <v>2.9580874988913526</v>
      </c>
      <c r="T113" s="39">
        <f>IF(S113=0,0,L113/S113)</f>
        <v>0.16956479450974324</v>
      </c>
      <c r="U113" s="39">
        <f>IF(S113=0,0,P113/S113)</f>
        <v>0.83043520549025673</v>
      </c>
      <c r="V113" s="39">
        <f>IF(S113=0,0,R113/S113)</f>
        <v>0</v>
      </c>
      <c r="W113" s="40">
        <f>SUM(AE113:AG113)/100*F113</f>
        <v>8.4749249999999989</v>
      </c>
      <c r="X113" s="37">
        <f>IF($G113=0,0,J113/$G113)</f>
        <v>0.13234498651486876</v>
      </c>
      <c r="Y113" s="37">
        <f>IF($G113=0,0,S113/$G113)</f>
        <v>0.78049802081566033</v>
      </c>
      <c r="Z113" s="41">
        <f>IF($G113=0,0,L113/$G113)</f>
        <v>0.13234498651486876</v>
      </c>
      <c r="AA113" s="36">
        <f>S113*Parametreler!$B$12</f>
        <v>4.2300651234146338</v>
      </c>
      <c r="AB113" s="42">
        <f>AA113*F113</f>
        <v>291.87449351560974</v>
      </c>
      <c r="AC113" s="43" t="s">
        <v>280</v>
      </c>
      <c r="AD113" s="30" t="s">
        <v>96</v>
      </c>
      <c r="AE113" s="44">
        <f>INDEX('İşçilik Özet'!$W$6:$W$200,MATCH($A113&amp;"",'İşçilik Özet'!$A$6:$A$200,0))</f>
        <v>0</v>
      </c>
      <c r="AF113" s="44">
        <f>INDEX('İşçilik Özet'!$X$6:$X$200,MATCH($A113&amp;"",'İşçilik Özet'!$A$6:$A$200,0))</f>
        <v>9.1624999999999996</v>
      </c>
      <c r="AG113" s="44">
        <f>INDEX('İşçilik Özet'!$Y$6:$Y$200,MATCH($A113&amp;"",'İşçilik Özet'!$A$6:$A$200,0))</f>
        <v>3.12</v>
      </c>
      <c r="AH113" s="45">
        <f>(L113+P113)*F113+IF(E113="Kataforez",N(Q113)*F113,IF(E113="Yaş boya",ROUNDUP(F113/MAX(1,ROUND(IF(ISNUMBER(Q113),Q113,Parametreler!$B$11),0)),0)*Parametreler!$B$10,0))</f>
        <v>204.10803742350333</v>
      </c>
    </row>
    <row r="114" spans="1:34" ht="15" customHeight="1" x14ac:dyDescent="0.25">
      <c r="A114" s="30">
        <v>1055920</v>
      </c>
      <c r="B114" s="30" t="s">
        <v>250</v>
      </c>
      <c r="C114" s="30" t="s">
        <v>251</v>
      </c>
      <c r="D114" s="30" t="s">
        <v>85</v>
      </c>
      <c r="E114" s="30" t="s">
        <v>86</v>
      </c>
      <c r="F114" s="31">
        <v>5</v>
      </c>
      <c r="G114" s="32">
        <v>15.237</v>
      </c>
      <c r="H114" s="33">
        <f>INDEX('Sac Özet'!$L$5:$L$199,MATCH($A114&amp;"",'Sac Özet'!$A$5:$A$199,0))</f>
        <v>20.297744999999999</v>
      </c>
      <c r="I114" s="33">
        <f>INDEX('Sac Özet'!$M$5:$M$199,MATCH($A114&amp;"",'Sac Özet'!$A$5:$A$199,0))</f>
        <v>9.4549717500000003</v>
      </c>
      <c r="J114" s="34">
        <f>INDEX('Sac Özet'!$N$5:$N$199,MATCH($A114&amp;"",'Sac Özet'!$A$5:$A$199,0))</f>
        <v>13.143841609090911</v>
      </c>
      <c r="K114" s="35">
        <f>SUMPRODUCT((--'Satınalma Parçaları'!$A$2:$A$107=--$A114)*'Satınalma Parçaları'!$L$2:$L$107)</f>
        <v>0</v>
      </c>
      <c r="L114" s="36">
        <f>J114+N(K114)</f>
        <v>13.143841609090911</v>
      </c>
      <c r="M114" s="37">
        <f>AE114/100*Parametreler!$B$7</f>
        <v>0</v>
      </c>
      <c r="N114" s="37">
        <f>AF114/100*Parametreler!$B$8</f>
        <v>3.0824999999999996</v>
      </c>
      <c r="O114" s="37">
        <f>AG114/100*Parametreler!$B$9</f>
        <v>5.5120000000000005</v>
      </c>
      <c r="P114" s="36">
        <f>SUM(M114:O114)</f>
        <v>8.5945</v>
      </c>
      <c r="Q114" s="38">
        <f>VLOOKUP($A114,'Yaş Boya Listesi'!$B$6:$L$131,11,FALSE())</f>
        <v>4</v>
      </c>
      <c r="R114" s="37">
        <f>IF(E114="Kataforez",N(Q114),IF(E114="Yaş boya",Parametreler!$B$10/MAX(1,ROUND(IF(ISNUMBER(Q114),Q114,Parametreler!$B$11),0)),0))</f>
        <v>20</v>
      </c>
      <c r="S114" s="36">
        <f>L114+P114+R114</f>
        <v>41.738341609090909</v>
      </c>
      <c r="T114" s="39">
        <f>IF(S114=0,0,L114/S114)</f>
        <v>0.31491049002838406</v>
      </c>
      <c r="U114" s="39">
        <f>IF(S114=0,0,P114/S114)</f>
        <v>0.20591378738747149</v>
      </c>
      <c r="V114" s="39">
        <f>IF(S114=0,0,R114/S114)</f>
        <v>0.47917572258414448</v>
      </c>
      <c r="W114" s="40">
        <f>SUM(AE114:AG114)/100*F114</f>
        <v>2.148625</v>
      </c>
      <c r="X114" s="37">
        <f>IF($G114=0,0,J114/$G114)</f>
        <v>0.86262660688396087</v>
      </c>
      <c r="Y114" s="37">
        <f>IF($G114=0,0,S114/$G114)</f>
        <v>2.7392755535270008</v>
      </c>
      <c r="Z114" s="41">
        <f>IF($G114=0,0,L114/$G114)</f>
        <v>0.86262660688396087</v>
      </c>
      <c r="AA114" s="36">
        <f>S114*Parametreler!$B$12</f>
        <v>59.685828500999996</v>
      </c>
      <c r="AB114" s="42">
        <f>AA114*F114</f>
        <v>298.42914250499996</v>
      </c>
      <c r="AC114" s="43" t="s">
        <v>252</v>
      </c>
      <c r="AD114" s="30" t="s">
        <v>101</v>
      </c>
      <c r="AE114" s="44">
        <f>INDEX('İşçilik Özet'!$W$6:$W$200,MATCH($A114&amp;"",'İşçilik Özet'!$A$6:$A$200,0))</f>
        <v>0</v>
      </c>
      <c r="AF114" s="44">
        <f>INDEX('İşçilik Özet'!$X$6:$X$200,MATCH($A114&amp;"",'İşçilik Özet'!$A$6:$A$200,0))</f>
        <v>15.4125</v>
      </c>
      <c r="AG114" s="44">
        <f>INDEX('İşçilik Özet'!$Y$6:$Y$200,MATCH($A114&amp;"",'İşçilik Özet'!$A$6:$A$200,0))</f>
        <v>27.56</v>
      </c>
      <c r="AH114" s="45">
        <f>(L114+P114)*F114+IF(E114="Kataforez",N(Q114)*F114,IF(E114="Yaş boya",ROUNDUP(F114/MAX(1,ROUND(IF(ISNUMBER(Q114),Q114,Parametreler!$B$11),0)),0)*Parametreler!$B$10,0))</f>
        <v>268.69170804545456</v>
      </c>
    </row>
    <row r="115" spans="1:34" ht="15" customHeight="1" x14ac:dyDescent="0.25">
      <c r="A115" s="30">
        <v>236542</v>
      </c>
      <c r="B115" s="30" t="s">
        <v>269</v>
      </c>
      <c r="C115" s="30" t="s">
        <v>107</v>
      </c>
      <c r="D115" s="30" t="s">
        <v>23</v>
      </c>
      <c r="E115" s="30" t="s">
        <v>86</v>
      </c>
      <c r="F115" s="31">
        <v>5</v>
      </c>
      <c r="G115" s="32">
        <v>5.4470000000000001</v>
      </c>
      <c r="H115" s="33">
        <f>INDEX('Sac Özet'!$L$5:$L$199,MATCH($A115&amp;"",'Sac Özet'!$A$5:$A$199,0))</f>
        <v>6.8877074260409898</v>
      </c>
      <c r="I115" s="33">
        <f>INDEX('Sac Özet'!$M$5:$M$199,MATCH($A115&amp;"",'Sac Özet'!$A$5:$A$199,0))</f>
        <v>1.4406787760409898</v>
      </c>
      <c r="J115" s="34">
        <f>INDEX('Sac Özet'!$N$5:$N$199,MATCH($A115&amp;"",'Sac Özet'!$A$5:$A$199,0))</f>
        <v>5.0386710686739224</v>
      </c>
      <c r="K115" s="35">
        <f>SUMPRODUCT((--'Satınalma Parçaları'!$A$2:$A$107=--$A115)*'Satınalma Parçaları'!$L$2:$L$107)</f>
        <v>0</v>
      </c>
      <c r="L115" s="36">
        <f>J115+N(K115)</f>
        <v>5.0386710686739224</v>
      </c>
      <c r="M115" s="37">
        <f>AE115/100*Parametreler!$B$7</f>
        <v>2.1447500000000002</v>
      </c>
      <c r="N115" s="37">
        <f>AF115/100*Parametreler!$B$8</f>
        <v>1.8325</v>
      </c>
      <c r="O115" s="37">
        <f>AG115/100*Parametreler!$B$9</f>
        <v>0.75</v>
      </c>
      <c r="P115" s="36">
        <f>SUM(M115:O115)</f>
        <v>4.7272499999999997</v>
      </c>
      <c r="Q115" s="38">
        <f>VLOOKUP($A115,'Yaş Boya Listesi'!$B$6:$L$131,11,FALSE())</f>
        <v>3</v>
      </c>
      <c r="R115" s="37">
        <f>IF(E115="Kataforez",N(Q115),IF(E115="Yaş boya",Parametreler!$B$10/MAX(1,ROUND(IF(ISNUMBER(Q115),Q115,Parametreler!$B$11),0)),0))</f>
        <v>26.666666666666668</v>
      </c>
      <c r="S115" s="36">
        <f>L115+P115+R115</f>
        <v>36.43258773534059</v>
      </c>
      <c r="T115" s="39">
        <f>IF(S115=0,0,L115/S115)</f>
        <v>0.13830121278446209</v>
      </c>
      <c r="U115" s="39">
        <f>IF(S115=0,0,P115/S115)</f>
        <v>0.12975334155071394</v>
      </c>
      <c r="V115" s="39">
        <f>IF(S115=0,0,R115/S115)</f>
        <v>0.731945445664824</v>
      </c>
      <c r="W115" s="40">
        <f>SUM(AE115:AG115)/100*F115</f>
        <v>1.1818124999999999</v>
      </c>
      <c r="X115" s="37">
        <f>IF($G115=0,0,J115/$G115)</f>
        <v>0.92503599571762851</v>
      </c>
      <c r="Y115" s="37">
        <f>IF($G115=0,0,S115/$G115)</f>
        <v>6.6885602598385514</v>
      </c>
      <c r="Z115" s="41">
        <f>IF($G115=0,0,L115/$G115)</f>
        <v>0.92503599571762851</v>
      </c>
      <c r="AA115" s="36">
        <f>S115*Parametreler!$B$12</f>
        <v>52.098600461537039</v>
      </c>
      <c r="AB115" s="42">
        <f>AA115*F115</f>
        <v>260.49300230768517</v>
      </c>
      <c r="AC115" s="43"/>
      <c r="AD115" s="30" t="s">
        <v>91</v>
      </c>
      <c r="AE115" s="44">
        <f>INDEX('İşçilik Özet'!$W$6:$W$200,MATCH($A115&amp;"",'İşçilik Özet'!$A$6:$A$200,0))</f>
        <v>10.723750000000001</v>
      </c>
      <c r="AF115" s="44">
        <f>INDEX('İşçilik Özet'!$X$6:$X$200,MATCH($A115&amp;"",'İşçilik Özet'!$A$6:$A$200,0))</f>
        <v>9.1624999999999996</v>
      </c>
      <c r="AG115" s="44">
        <f>INDEX('İşçilik Özet'!$Y$6:$Y$200,MATCH($A115&amp;"",'İşçilik Özet'!$A$6:$A$200,0))</f>
        <v>3.75</v>
      </c>
      <c r="AH115" s="45">
        <f>(L115+P115)*F115+IF(E115="Kataforez",N(Q115)*F115,IF(E115="Yaş boya",ROUNDUP(F115/MAX(1,ROUND(IF(ISNUMBER(Q115),Q115,Parametreler!$B$11),0)),0)*Parametreler!$B$10,0))</f>
        <v>208.82960534336962</v>
      </c>
    </row>
    <row r="116" spans="1:34" ht="15" customHeight="1" x14ac:dyDescent="0.25">
      <c r="A116" s="30">
        <v>226280</v>
      </c>
      <c r="B116" s="30" t="s">
        <v>235</v>
      </c>
      <c r="C116" s="30" t="s">
        <v>117</v>
      </c>
      <c r="D116" s="30" t="s">
        <v>23</v>
      </c>
      <c r="E116" s="30" t="s">
        <v>86</v>
      </c>
      <c r="F116" s="31">
        <v>10</v>
      </c>
      <c r="G116" s="32">
        <v>4.6479999999999997</v>
      </c>
      <c r="H116" s="33">
        <f>INDEX('Sac Özet'!$L$5:$L$199,MATCH($A116&amp;"",'Sac Özet'!$A$5:$A$199,0))</f>
        <v>5.8708011870536945</v>
      </c>
      <c r="I116" s="33">
        <f>INDEX('Sac Özet'!$M$5:$M$199,MATCH($A116&amp;"",'Sac Özet'!$A$5:$A$199,0))</f>
        <v>1.2227847870536952</v>
      </c>
      <c r="J116" s="34">
        <f>INDEX('Sac Özet'!$N$5:$N$199,MATCH($A116&amp;"",'Sac Özet'!$A$5:$A$199,0))</f>
        <v>4.2964568375162928</v>
      </c>
      <c r="K116" s="35">
        <f>SUMPRODUCT((--'Satınalma Parçaları'!$A$2:$A$107=--$A116)*'Satınalma Parçaları'!$L$2:$L$107)</f>
        <v>0</v>
      </c>
      <c r="L116" s="36">
        <f>J116+N(K116)</f>
        <v>4.2964568375162928</v>
      </c>
      <c r="M116" s="37">
        <f>AE116/100*Parametreler!$B$7</f>
        <v>1.081</v>
      </c>
      <c r="N116" s="37">
        <f>AF116/100*Parametreler!$B$8</f>
        <v>2.5824999999999996</v>
      </c>
      <c r="O116" s="37">
        <f>AG116/100*Parametreler!$B$9</f>
        <v>2.2880000000000003</v>
      </c>
      <c r="P116" s="36">
        <f>SUM(M116:O116)</f>
        <v>5.9514999999999993</v>
      </c>
      <c r="Q116" s="38">
        <f>VLOOKUP($A116,'Yaş Boya Listesi'!$B$6:$L$131,11,FALSE())</f>
        <v>10</v>
      </c>
      <c r="R116" s="37">
        <f>IF(E116="Kataforez",N(Q116),IF(E116="Yaş boya",Parametreler!$B$10/MAX(1,ROUND(IF(ISNUMBER(Q116),Q116,Parametreler!$B$11),0)),0))</f>
        <v>8</v>
      </c>
      <c r="S116" s="36">
        <f>L116+P116+R116</f>
        <v>18.247956837516291</v>
      </c>
      <c r="T116" s="39">
        <f>IF(S116=0,0,L116/S116)</f>
        <v>0.23544865191061459</v>
      </c>
      <c r="U116" s="39">
        <f>IF(S116=0,0,P116/S116)</f>
        <v>0.32614610243729902</v>
      </c>
      <c r="V116" s="39">
        <f>IF(S116=0,0,R116/S116)</f>
        <v>0.43840524565208644</v>
      </c>
      <c r="W116" s="40">
        <f>SUM(AE116:AG116)/100*F116</f>
        <v>2.9757499999999997</v>
      </c>
      <c r="X116" s="37">
        <f>IF($G116=0,0,J116/$G116)</f>
        <v>0.92436678948285134</v>
      </c>
      <c r="Y116" s="37">
        <f>IF($G116=0,0,S116/$G116)</f>
        <v>3.9259803867289786</v>
      </c>
      <c r="Z116" s="41">
        <f>IF($G116=0,0,L116/$G116)</f>
        <v>0.92436678948285134</v>
      </c>
      <c r="AA116" s="36">
        <f>S116*Parametreler!$B$12</f>
        <v>26.094578277648296</v>
      </c>
      <c r="AB116" s="42">
        <f>AA116*F116</f>
        <v>260.94578277648293</v>
      </c>
      <c r="AC116" s="43"/>
      <c r="AD116" s="30" t="s">
        <v>91</v>
      </c>
      <c r="AE116" s="44">
        <f>INDEX('İşçilik Özet'!$W$6:$W$200,MATCH($A116&amp;"",'İşçilik Özet'!$A$6:$A$200,0))</f>
        <v>5.4049999999999994</v>
      </c>
      <c r="AF116" s="44">
        <f>INDEX('İşçilik Özet'!$X$6:$X$200,MATCH($A116&amp;"",'İşçilik Özet'!$A$6:$A$200,0))</f>
        <v>12.9125</v>
      </c>
      <c r="AG116" s="44">
        <f>INDEX('İşçilik Özet'!$Y$6:$Y$200,MATCH($A116&amp;"",'İşçilik Özet'!$A$6:$A$200,0))</f>
        <v>11.440000000000001</v>
      </c>
      <c r="AH116" s="45">
        <f>(L116+P116)*F116+IF(E116="Kataforez",N(Q116)*F116,IF(E116="Yaş boya",ROUNDUP(F116/MAX(1,ROUND(IF(ISNUMBER(Q116),Q116,Parametreler!$B$11),0)),0)*Parametreler!$B$10,0))</f>
        <v>182.4795683751629</v>
      </c>
    </row>
    <row r="117" spans="1:34" ht="15" customHeight="1" x14ac:dyDescent="0.25">
      <c r="A117" s="30">
        <v>236540</v>
      </c>
      <c r="B117" s="30" t="s">
        <v>275</v>
      </c>
      <c r="C117" s="30" t="s">
        <v>117</v>
      </c>
      <c r="D117" s="30" t="s">
        <v>23</v>
      </c>
      <c r="E117" s="30" t="s">
        <v>86</v>
      </c>
      <c r="F117" s="31">
        <v>5</v>
      </c>
      <c r="G117" s="32">
        <v>5.2119999999999997</v>
      </c>
      <c r="H117" s="33">
        <f>INDEX('Sac Özet'!$L$5:$L$199,MATCH($A117&amp;"",'Sac Özet'!$A$5:$A$199,0))</f>
        <v>6.5766303371047004</v>
      </c>
      <c r="I117" s="33">
        <f>INDEX('Sac Özet'!$M$5:$M$199,MATCH($A117&amp;"",'Sac Özet'!$A$5:$A$199,0))</f>
        <v>1.3646071371047013</v>
      </c>
      <c r="J117" s="34">
        <f>INDEX('Sac Özet'!$N$5:$N$199,MATCH($A117&amp;"",'Sac Özet'!$A$5:$A$199,0))</f>
        <v>4.8147055702676775</v>
      </c>
      <c r="K117" s="35">
        <f>SUMPRODUCT((--'Satınalma Parçaları'!$A$2:$A$107=--$A117)*'Satınalma Parçaları'!$L$2:$L$107)</f>
        <v>0</v>
      </c>
      <c r="L117" s="36">
        <f>J117+N(K117)</f>
        <v>4.8147055702676775</v>
      </c>
      <c r="M117" s="37">
        <f>AE117/100*Parametreler!$B$7</f>
        <v>1.3109999999999999</v>
      </c>
      <c r="N117" s="37">
        <f>AF117/100*Parametreler!$B$8</f>
        <v>2.0825</v>
      </c>
      <c r="O117" s="37">
        <f>AG117/100*Parametreler!$B$9</f>
        <v>0.81999999999999984</v>
      </c>
      <c r="P117" s="36">
        <f>SUM(M117:O117)</f>
        <v>4.2134999999999998</v>
      </c>
      <c r="Q117" s="38">
        <f>VLOOKUP($A117,'Yaş Boya Listesi'!$B$6:$L$131,11,FALSE())</f>
        <v>3</v>
      </c>
      <c r="R117" s="37">
        <f>IF(E117="Kataforez",N(Q117),IF(E117="Yaş boya",Parametreler!$B$10/MAX(1,ROUND(IF(ISNUMBER(Q117),Q117,Parametreler!$B$11),0)),0))</f>
        <v>26.666666666666668</v>
      </c>
      <c r="S117" s="36">
        <f>L117+P117+R117</f>
        <v>35.694872236934344</v>
      </c>
      <c r="T117" s="39">
        <f>IF(S117=0,0,L117/S117)</f>
        <v>0.13488507644203823</v>
      </c>
      <c r="U117" s="39">
        <f>IF(S117=0,0,P117/S117)</f>
        <v>0.11804216504913526</v>
      </c>
      <c r="V117" s="39">
        <f>IF(S117=0,0,R117/S117)</f>
        <v>0.74707275850882648</v>
      </c>
      <c r="W117" s="40">
        <f>SUM(AE117:AG117)/100*F117</f>
        <v>1.0533750000000002</v>
      </c>
      <c r="X117" s="37">
        <f>IF($G117=0,0,J117/$G117)</f>
        <v>0.92377313320561738</v>
      </c>
      <c r="Y117" s="37">
        <f>IF($G117=0,0,S117/$G117)</f>
        <v>6.8485940592736654</v>
      </c>
      <c r="Z117" s="41">
        <f>IF($G117=0,0,L117/$G117)</f>
        <v>0.92377313320561738</v>
      </c>
      <c r="AA117" s="36">
        <f>S117*Parametreler!$B$12</f>
        <v>51.043667298816111</v>
      </c>
      <c r="AB117" s="42">
        <f>AA117*F117</f>
        <v>255.21833649408055</v>
      </c>
      <c r="AC117" s="43"/>
      <c r="AD117" s="30" t="s">
        <v>91</v>
      </c>
      <c r="AE117" s="44">
        <f>INDEX('İşçilik Özet'!$W$6:$W$200,MATCH($A117&amp;"",'İşçilik Özet'!$A$6:$A$200,0))</f>
        <v>6.5549999999999997</v>
      </c>
      <c r="AF117" s="44">
        <f>INDEX('İşçilik Özet'!$X$6:$X$200,MATCH($A117&amp;"",'İşçilik Özet'!$A$6:$A$200,0))</f>
        <v>10.4125</v>
      </c>
      <c r="AG117" s="44">
        <f>INDEX('İşçilik Özet'!$Y$6:$Y$200,MATCH($A117&amp;"",'İşçilik Özet'!$A$6:$A$200,0))</f>
        <v>4.0999999999999996</v>
      </c>
      <c r="AH117" s="45">
        <f>(L117+P117)*F117+IF(E117="Kataforez",N(Q117)*F117,IF(E117="Yaş boya",ROUNDUP(F117/MAX(1,ROUND(IF(ISNUMBER(Q117),Q117,Parametreler!$B$11),0)),0)*Parametreler!$B$10,0))</f>
        <v>205.14102785133838</v>
      </c>
    </row>
    <row r="118" spans="1:34" ht="15" customHeight="1" x14ac:dyDescent="0.25">
      <c r="A118" s="30">
        <v>1276458</v>
      </c>
      <c r="B118" s="30" t="s">
        <v>240</v>
      </c>
      <c r="C118" s="30" t="s">
        <v>84</v>
      </c>
      <c r="D118" s="30" t="s">
        <v>85</v>
      </c>
      <c r="E118" s="30" t="s">
        <v>86</v>
      </c>
      <c r="F118" s="31">
        <v>3</v>
      </c>
      <c r="G118" s="32">
        <v>8.8569999999999993</v>
      </c>
      <c r="H118" s="33">
        <f>INDEX('Sac Özet'!$L$5:$L$199,MATCH($A118&amp;"",'Sac Özet'!$A$5:$A$199,0))</f>
        <v>17.421512849999999</v>
      </c>
      <c r="I118" s="33">
        <f>INDEX('Sac Özet'!$M$5:$M$199,MATCH($A118&amp;"",'Sac Özet'!$A$5:$A$199,0))</f>
        <v>8.6075093000000003</v>
      </c>
      <c r="J118" s="34">
        <f>INDEX('Sac Özet'!$N$5:$N$199,MATCH($A118&amp;"",'Sac Özet'!$A$5:$A$199,0))</f>
        <v>11.120207236363637</v>
      </c>
      <c r="K118" s="35">
        <f>SUMPRODUCT((--'Satınalma Parçaları'!$A$2:$A$107=--$A118)*'Satınalma Parçaları'!$L$2:$L$107)</f>
        <v>0</v>
      </c>
      <c r="L118" s="36">
        <f>J118+N(K118)</f>
        <v>11.120207236363637</v>
      </c>
      <c r="M118" s="37">
        <f>AE118/100*Parametreler!$B$7</f>
        <v>3.6857500000000005</v>
      </c>
      <c r="N118" s="37">
        <f>AF118/100*Parametreler!$B$8</f>
        <v>6.5824999999999987</v>
      </c>
      <c r="O118" s="37">
        <f>AG118/100*Parametreler!$B$9</f>
        <v>7.1848000000000001</v>
      </c>
      <c r="P118" s="36">
        <f>SUM(M118:O118)</f>
        <v>17.453049999999998</v>
      </c>
      <c r="Q118" s="38">
        <f>VLOOKUP($A118,'Yaş Boya Listesi'!$B$6:$L$131,11,FALSE())</f>
        <v>3</v>
      </c>
      <c r="R118" s="37">
        <f>IF(E118="Kataforez",N(Q118),IF(E118="Yaş boya",Parametreler!$B$10/MAX(1,ROUND(IF(ISNUMBER(Q118),Q118,Parametreler!$B$11),0)),0))</f>
        <v>26.666666666666668</v>
      </c>
      <c r="S118" s="36">
        <f>L118+P118+R118</f>
        <v>55.239923903030302</v>
      </c>
      <c r="T118" s="39">
        <f>IF(S118=0,0,L118/S118)</f>
        <v>0.20130743220943528</v>
      </c>
      <c r="U118" s="39">
        <f>IF(S118=0,0,P118/S118)</f>
        <v>0.3159499283640862</v>
      </c>
      <c r="V118" s="39">
        <f>IF(S118=0,0,R118/S118)</f>
        <v>0.48274263942647849</v>
      </c>
      <c r="W118" s="40">
        <f>SUM(AE118:AG118)/100*F118</f>
        <v>2.6179574999999997</v>
      </c>
      <c r="X118" s="37">
        <f>IF($G118=0,0,J118/$G118)</f>
        <v>1.2555275190655568</v>
      </c>
      <c r="Y118" s="37">
        <f>IF($G118=0,0,S118/$G118)</f>
        <v>6.2368661965711087</v>
      </c>
      <c r="Z118" s="41">
        <f>IF($G118=0,0,L118/$G118)</f>
        <v>1.2555275190655568</v>
      </c>
      <c r="AA118" s="36">
        <f>S118*Parametreler!$B$12</f>
        <v>78.993091181333327</v>
      </c>
      <c r="AB118" s="42">
        <f>AA118*F118</f>
        <v>236.97927354399997</v>
      </c>
      <c r="AC118" s="43"/>
      <c r="AD118" s="30"/>
      <c r="AE118" s="44">
        <f>INDEX('İşçilik Özet'!$W$6:$W$200,MATCH($A118&amp;"",'İşçilik Özet'!$A$6:$A$200,0))</f>
        <v>18.428750000000001</v>
      </c>
      <c r="AF118" s="44">
        <f>INDEX('İşçilik Özet'!$X$6:$X$200,MATCH($A118&amp;"",'İşçilik Özet'!$A$6:$A$200,0))</f>
        <v>32.912499999999994</v>
      </c>
      <c r="AG118" s="44">
        <f>INDEX('İşçilik Özet'!$Y$6:$Y$200,MATCH($A118&amp;"",'İşçilik Özet'!$A$6:$A$200,0))</f>
        <v>35.923999999999999</v>
      </c>
      <c r="AH118" s="45">
        <f>(L118+P118)*F118+IF(E118="Kataforez",N(Q118)*F118,IF(E118="Yaş boya",ROUNDUP(F118/MAX(1,ROUND(IF(ISNUMBER(Q118),Q118,Parametreler!$B$11),0)),0)*Parametreler!$B$10,0))</f>
        <v>165.71977170909091</v>
      </c>
    </row>
    <row r="119" spans="1:34" ht="15" customHeight="1" x14ac:dyDescent="0.25">
      <c r="A119" s="30">
        <v>125815</v>
      </c>
      <c r="B119" s="30" t="s">
        <v>245</v>
      </c>
      <c r="C119" s="30" t="s">
        <v>246</v>
      </c>
      <c r="D119" s="30" t="s">
        <v>85</v>
      </c>
      <c r="E119" s="30" t="s">
        <v>86</v>
      </c>
      <c r="F119" s="31">
        <v>1</v>
      </c>
      <c r="G119" s="32">
        <v>47.832999999999998</v>
      </c>
      <c r="H119" s="33">
        <f>INDEX('Sac Özet'!$L$5:$L$199,MATCH($A119&amp;"",'Sac Özet'!$A$5:$A$199,0))</f>
        <v>53.807028539000001</v>
      </c>
      <c r="I119" s="33">
        <f>INDEX('Sac Özet'!$M$5:$M$199,MATCH($A119&amp;"",'Sac Özet'!$A$5:$A$199,0))</f>
        <v>6.1460282890000002</v>
      </c>
      <c r="J119" s="34">
        <f>INDEX('Sac Özet'!$N$5:$N$199,MATCH($A119&amp;"",'Sac Özet'!$A$5:$A$199,0))</f>
        <v>41.035376031163636</v>
      </c>
      <c r="K119" s="35">
        <f>SUMPRODUCT((--'Satınalma Parçaları'!$A$2:$A$107=--$A119)*'Satınalma Parçaları'!$L$2:$L$107)</f>
        <v>0</v>
      </c>
      <c r="L119" s="36">
        <f>J119+N(K119)</f>
        <v>41.035376031163636</v>
      </c>
      <c r="M119" s="37">
        <f>AE119/100*Parametreler!$B$7</f>
        <v>21.757999999999996</v>
      </c>
      <c r="N119" s="37">
        <f>AF119/100*Parametreler!$B$8</f>
        <v>12.75</v>
      </c>
      <c r="O119" s="37">
        <f>AG119/100*Parametreler!$B$9</f>
        <v>10.2782</v>
      </c>
      <c r="P119" s="36">
        <f>SUM(M119:O119)</f>
        <v>44.786199999999994</v>
      </c>
      <c r="Q119" s="38">
        <f>VLOOKUP($A119,'Yaş Boya Listesi'!$B$6:$L$131,11,FALSE())</f>
        <v>1</v>
      </c>
      <c r="R119" s="37">
        <f>IF(E119="Kataforez",N(Q119),IF(E119="Yaş boya",Parametreler!$B$10/MAX(1,ROUND(IF(ISNUMBER(Q119),Q119,Parametreler!$B$11),0)),0))</f>
        <v>80</v>
      </c>
      <c r="S119" s="36">
        <f>L119+P119+R119</f>
        <v>165.82157603116363</v>
      </c>
      <c r="T119" s="39">
        <f>IF(S119=0,0,L119/S119)</f>
        <v>0.24746704869969191</v>
      </c>
      <c r="U119" s="39">
        <f>IF(S119=0,0,P119/S119)</f>
        <v>0.27008668637658534</v>
      </c>
      <c r="V119" s="39">
        <f>IF(S119=0,0,R119/S119)</f>
        <v>0.48244626492372272</v>
      </c>
      <c r="W119" s="40">
        <f>SUM(AE119:AG119)/100*F119</f>
        <v>2.2393099999999997</v>
      </c>
      <c r="X119" s="37">
        <f>IF($G119=0,0,J119/$G119)</f>
        <v>0.85788840405501721</v>
      </c>
      <c r="Y119" s="37">
        <f>IF($G119=0,0,S119/$G119)</f>
        <v>3.4666773154760029</v>
      </c>
      <c r="Z119" s="41">
        <f>IF($G119=0,0,L119/$G119)</f>
        <v>0.85788840405501721</v>
      </c>
      <c r="AA119" s="36">
        <f>S119*Parametreler!$B$12</f>
        <v>237.12485372456399</v>
      </c>
      <c r="AB119" s="42">
        <f>AA119*F119</f>
        <v>237.12485372456399</v>
      </c>
      <c r="AC119" s="43" t="s">
        <v>247</v>
      </c>
      <c r="AD119" s="30" t="s">
        <v>182</v>
      </c>
      <c r="AE119" s="44">
        <f>INDEX('İşçilik Özet'!$W$6:$W$200,MATCH($A119&amp;"",'İşçilik Özet'!$A$6:$A$200,0))</f>
        <v>108.78999999999999</v>
      </c>
      <c r="AF119" s="44">
        <f>INDEX('İşçilik Özet'!$X$6:$X$200,MATCH($A119&amp;"",'İşçilik Özet'!$A$6:$A$200,0))</f>
        <v>63.75</v>
      </c>
      <c r="AG119" s="44">
        <f>INDEX('İşçilik Özet'!$Y$6:$Y$200,MATCH($A119&amp;"",'İşçilik Özet'!$A$6:$A$200,0))</f>
        <v>51.390999999999998</v>
      </c>
      <c r="AH119" s="45">
        <f>(L119+P119)*F119+IF(E119="Kataforez",N(Q119)*F119,IF(E119="Yaş boya",ROUNDUP(F119/MAX(1,ROUND(IF(ISNUMBER(Q119),Q119,Parametreler!$B$11),0)),0)*Parametreler!$B$10,0))</f>
        <v>165.82157603116363</v>
      </c>
    </row>
    <row r="120" spans="1:34" ht="15" customHeight="1" x14ac:dyDescent="0.25">
      <c r="A120" s="30">
        <v>235262</v>
      </c>
      <c r="B120" s="30" t="s">
        <v>229</v>
      </c>
      <c r="C120" s="30" t="s">
        <v>107</v>
      </c>
      <c r="D120" s="30" t="s">
        <v>23</v>
      </c>
      <c r="E120" s="30" t="s">
        <v>86</v>
      </c>
      <c r="F120" s="31">
        <v>10</v>
      </c>
      <c r="G120" s="32">
        <v>1.964</v>
      </c>
      <c r="H120" s="33">
        <f>INDEX('Sac Özet'!$L$5:$L$199,MATCH($A120&amp;"",'Sac Özet'!$A$5:$A$199,0))</f>
        <v>2.4757818195307424</v>
      </c>
      <c r="I120" s="33">
        <f>INDEX('Sac Özet'!$M$5:$M$199,MATCH($A120&amp;"",'Sac Özet'!$A$5:$A$199,0))</f>
        <v>0.51180601953074278</v>
      </c>
      <c r="J120" s="34">
        <f>INDEX('Sac Özet'!$N$5:$N$199,MATCH($A120&amp;"",'Sac Özet'!$A$5:$A$199,0))</f>
        <v>1.8131253037781692</v>
      </c>
      <c r="K120" s="35">
        <f>SUMPRODUCT((--'Satınalma Parçaları'!$A$2:$A$107=--$A120)*'Satınalma Parçaları'!$L$2:$L$107)</f>
        <v>0</v>
      </c>
      <c r="L120" s="36">
        <f>J120+N(K120)</f>
        <v>1.8131253037781692</v>
      </c>
      <c r="M120" s="37">
        <f>AE120/100*Parametreler!$B$7</f>
        <v>2.1619999999999999</v>
      </c>
      <c r="N120" s="37">
        <f>AF120/100*Parametreler!$B$8</f>
        <v>2.8325</v>
      </c>
      <c r="O120" s="37">
        <f>AG120/100*Parametreler!$B$9</f>
        <v>1.3455999999999999</v>
      </c>
      <c r="P120" s="36">
        <f>SUM(M120:O120)</f>
        <v>6.3401000000000005</v>
      </c>
      <c r="Q120" s="38">
        <f>VLOOKUP($A120,'Yaş Boya Listesi'!$B$6:$L$131,11,FALSE())</f>
        <v>10</v>
      </c>
      <c r="R120" s="37">
        <f>IF(E120="Kataforez",N(Q120),IF(E120="Yaş boya",Parametreler!$B$10/MAX(1,ROUND(IF(ISNUMBER(Q120),Q120,Parametreler!$B$11),0)),0))</f>
        <v>8</v>
      </c>
      <c r="S120" s="36">
        <f>L120+P120+R120</f>
        <v>16.153225303778171</v>
      </c>
      <c r="T120" s="39">
        <f>IF(S120=0,0,L120/S120)</f>
        <v>0.11224540422611989</v>
      </c>
      <c r="U120" s="39">
        <f>IF(S120=0,0,P120/S120)</f>
        <v>0.39249746603342911</v>
      </c>
      <c r="V120" s="39">
        <f>IF(S120=0,0,R120/S120)</f>
        <v>0.49525712974045089</v>
      </c>
      <c r="W120" s="40">
        <f>SUM(AE120:AG120)/100*F120</f>
        <v>3.1700499999999998</v>
      </c>
      <c r="X120" s="37">
        <f>IF($G120=0,0,J120/$G120)</f>
        <v>0.92317988990741817</v>
      </c>
      <c r="Y120" s="37">
        <f>IF($G120=0,0,S120/$G120)</f>
        <v>8.224656468318825</v>
      </c>
      <c r="Z120" s="41">
        <f>IF($G120=0,0,L120/$G120)</f>
        <v>0.92317988990741817</v>
      </c>
      <c r="AA120" s="36">
        <f>S120*Parametreler!$B$12</f>
        <v>23.099112184402784</v>
      </c>
      <c r="AB120" s="42">
        <f>AA120*F120</f>
        <v>230.99112184402784</v>
      </c>
      <c r="AC120" s="43"/>
      <c r="AD120" s="30" t="s">
        <v>91</v>
      </c>
      <c r="AE120" s="44">
        <f>INDEX('İşçilik Özet'!$W$6:$W$200,MATCH($A120&amp;"",'İşçilik Özet'!$A$6:$A$200,0))</f>
        <v>10.809999999999999</v>
      </c>
      <c r="AF120" s="44">
        <f>INDEX('İşçilik Özet'!$X$6:$X$200,MATCH($A120&amp;"",'İşçilik Özet'!$A$6:$A$200,0))</f>
        <v>14.1625</v>
      </c>
      <c r="AG120" s="44">
        <f>INDEX('İşçilik Özet'!$Y$6:$Y$200,MATCH($A120&amp;"",'İşçilik Özet'!$A$6:$A$200,0))</f>
        <v>6.7279999999999998</v>
      </c>
      <c r="AH120" s="45">
        <f>(L120+P120)*F120+IF(E120="Kataforez",N(Q120)*F120,IF(E120="Yaş boya",ROUNDUP(F120/MAX(1,ROUND(IF(ISNUMBER(Q120),Q120,Parametreler!$B$11),0)),0)*Parametreler!$B$10,0))</f>
        <v>161.53225303778169</v>
      </c>
    </row>
    <row r="121" spans="1:34" ht="15" customHeight="1" x14ac:dyDescent="0.25">
      <c r="A121" s="30">
        <v>237104</v>
      </c>
      <c r="B121" s="30" t="s">
        <v>231</v>
      </c>
      <c r="C121" s="30" t="s">
        <v>156</v>
      </c>
      <c r="D121" s="30" t="s">
        <v>23</v>
      </c>
      <c r="E121" s="30" t="s">
        <v>86</v>
      </c>
      <c r="F121" s="31">
        <v>10</v>
      </c>
      <c r="G121" s="32">
        <v>1.5109999999999999</v>
      </c>
      <c r="H121" s="33">
        <f>INDEX('Sac Özet'!$L$5:$L$199,MATCH($A121&amp;"",'Sac Özet'!$A$5:$A$199,0))</f>
        <v>1.2927226829268292</v>
      </c>
      <c r="I121" s="33">
        <f>INDEX('Sac Özet'!$M$5:$M$199,MATCH($A121&amp;"",'Sac Özet'!$A$5:$A$199,0))</f>
        <v>0.23269008292682924</v>
      </c>
      <c r="J121" s="34">
        <f>INDEX('Sac Özet'!$N$5:$N$199,MATCH($A121&amp;"",'Sac Özet'!$A$5:$A$199,0))</f>
        <v>0.95802502829268299</v>
      </c>
      <c r="K121" s="35">
        <f>SUMPRODUCT((--'Satınalma Parçaları'!$A$2:$A$107=--$A121)*'Satınalma Parçaları'!$L$2:$L$107)</f>
        <v>0</v>
      </c>
      <c r="L121" s="36">
        <f>J121+N(K121)</f>
        <v>0.95802502829268299</v>
      </c>
      <c r="M121" s="37">
        <f>AE121/100*Parametreler!$B$7</f>
        <v>0</v>
      </c>
      <c r="N121" s="37">
        <f>AF121/100*Parametreler!$B$8</f>
        <v>3.5825</v>
      </c>
      <c r="O121" s="37">
        <f>AG121/100*Parametreler!$B$9</f>
        <v>2.6472000000000002</v>
      </c>
      <c r="P121" s="36">
        <f>SUM(M121:O121)</f>
        <v>6.2297000000000002</v>
      </c>
      <c r="Q121" s="38">
        <f>VLOOKUP($A121,'Yaş Boya Listesi'!$B$6:$L$131,11,FALSE())</f>
        <v>10</v>
      </c>
      <c r="R121" s="37">
        <f>IF(E121="Kataforez",N(Q121),IF(E121="Yaş boya",Parametreler!$B$10/MAX(1,ROUND(IF(ISNUMBER(Q121),Q121,Parametreler!$B$11),0)),0))</f>
        <v>8</v>
      </c>
      <c r="S121" s="36">
        <f>L121+P121+R121</f>
        <v>15.187725028292682</v>
      </c>
      <c r="T121" s="39">
        <f>IF(S121=0,0,L121/S121)</f>
        <v>6.3078902634068734E-2</v>
      </c>
      <c r="U121" s="39">
        <f>IF(S121=0,0,P121/S121)</f>
        <v>0.41017993072661701</v>
      </c>
      <c r="V121" s="39">
        <f>IF(S121=0,0,R121/S121)</f>
        <v>0.52674116663931425</v>
      </c>
      <c r="W121" s="40">
        <f>SUM(AE121:AG121)/100*F121</f>
        <v>3.1148500000000001</v>
      </c>
      <c r="X121" s="37">
        <f>IF($G121=0,0,J121/$G121)</f>
        <v>0.63403377120627602</v>
      </c>
      <c r="Y121" s="37">
        <f>IF($G121=0,0,S121/$G121)</f>
        <v>10.051439462801246</v>
      </c>
      <c r="Z121" s="41">
        <f>IF($G121=0,0,L121/$G121)</f>
        <v>0.63403377120627602</v>
      </c>
      <c r="AA121" s="36">
        <f>S121*Parametreler!$B$12</f>
        <v>21.718446790458536</v>
      </c>
      <c r="AB121" s="42">
        <f>AA121*F121</f>
        <v>217.18446790458535</v>
      </c>
      <c r="AC121" s="43" t="s">
        <v>232</v>
      </c>
      <c r="AD121" s="30" t="s">
        <v>96</v>
      </c>
      <c r="AE121" s="44">
        <f>INDEX('İşçilik Özet'!$W$6:$W$200,MATCH($A121&amp;"",'İşçilik Özet'!$A$6:$A$200,0))</f>
        <v>0</v>
      </c>
      <c r="AF121" s="44">
        <f>INDEX('İşçilik Özet'!$X$6:$X$200,MATCH($A121&amp;"",'İşçilik Özet'!$A$6:$A$200,0))</f>
        <v>17.912500000000001</v>
      </c>
      <c r="AG121" s="44">
        <f>INDEX('İşçilik Özet'!$Y$6:$Y$200,MATCH($A121&amp;"",'İşçilik Özet'!$A$6:$A$200,0))</f>
        <v>13.236000000000001</v>
      </c>
      <c r="AH121" s="45">
        <f>(L121+P121)*F121+IF(E121="Kataforez",N(Q121)*F121,IF(E121="Yaş boya",ROUNDUP(F121/MAX(1,ROUND(IF(ISNUMBER(Q121),Q121,Parametreler!$B$11),0)),0)*Parametreler!$B$10,0))</f>
        <v>151.87725028292684</v>
      </c>
    </row>
    <row r="122" spans="1:34" ht="15" customHeight="1" x14ac:dyDescent="0.25">
      <c r="A122" s="30">
        <v>147778</v>
      </c>
      <c r="B122" s="30" t="s">
        <v>260</v>
      </c>
      <c r="C122" s="30" t="s">
        <v>107</v>
      </c>
      <c r="D122" s="30" t="s">
        <v>23</v>
      </c>
      <c r="E122" s="30" t="s">
        <v>86</v>
      </c>
      <c r="F122" s="31">
        <v>13</v>
      </c>
      <c r="G122" s="32">
        <v>2.7389999999999999</v>
      </c>
      <c r="H122" s="33">
        <f>INDEX('Sac Özet'!$L$5:$L$199,MATCH($A122&amp;"",'Sac Özet'!$A$5:$A$199,0))</f>
        <v>1.2926652439024391</v>
      </c>
      <c r="I122" s="33">
        <f>INDEX('Sac Özet'!$M$5:$M$199,MATCH($A122&amp;"",'Sac Özet'!$A$5:$A$199,0))</f>
        <v>0.23267974390243898</v>
      </c>
      <c r="J122" s="34">
        <f>INDEX('Sac Özet'!$N$5:$N$199,MATCH($A122&amp;"",'Sac Özet'!$A$5:$A$199,0))</f>
        <v>0.95798246075388038</v>
      </c>
      <c r="K122" s="35">
        <f>SUMPRODUCT((--'Satınalma Parçaları'!$A$2:$A$107=--$A122)*'Satınalma Parçaları'!$L$2:$L$107)</f>
        <v>0</v>
      </c>
      <c r="L122" s="36">
        <f>J122+N(K122)</f>
        <v>0.95798246075388038</v>
      </c>
      <c r="M122" s="37">
        <f>AE122/100*Parametreler!$B$7</f>
        <v>0</v>
      </c>
      <c r="N122" s="37">
        <f>AF122/100*Parametreler!$B$8</f>
        <v>1.5825</v>
      </c>
      <c r="O122" s="37">
        <f>AG122/100*Parametreler!$B$9</f>
        <v>0.66199999999999992</v>
      </c>
      <c r="P122" s="36">
        <f>SUM(M122:O122)</f>
        <v>2.2444999999999999</v>
      </c>
      <c r="Q122" s="38">
        <f>VLOOKUP($A122,'Yaş Boya Listesi'!$B$6:$L$131,11,FALSE())</f>
        <v>10</v>
      </c>
      <c r="R122" s="37">
        <f>IF(E122="Kataforez",N(Q122),IF(E122="Yaş boya",Parametreler!$B$10/MAX(1,ROUND(IF(ISNUMBER(Q122),Q122,Parametreler!$B$11),0)),0))</f>
        <v>8</v>
      </c>
      <c r="S122" s="36">
        <f>L122+P122+R122</f>
        <v>11.202482460753881</v>
      </c>
      <c r="T122" s="39">
        <f>IF(S122=0,0,L122/S122)</f>
        <v>8.5515193985799112E-2</v>
      </c>
      <c r="U122" s="39">
        <f>IF(S122=0,0,P122/S122)</f>
        <v>0.2003573768460026</v>
      </c>
      <c r="V122" s="39">
        <f>IF(S122=0,0,R122/S122)</f>
        <v>0.71412742916819816</v>
      </c>
      <c r="W122" s="40">
        <f>SUM(AE122:AG122)/100*F122</f>
        <v>1.458925</v>
      </c>
      <c r="X122" s="37">
        <f>IF($G122=0,0,J122/$G122)</f>
        <v>0.3497562835903178</v>
      </c>
      <c r="Y122" s="37">
        <f>IF($G122=0,0,S122/$G122)</f>
        <v>4.0899899455107267</v>
      </c>
      <c r="Z122" s="41">
        <f>IF($G122=0,0,L122/$G122)</f>
        <v>0.3497562835903178</v>
      </c>
      <c r="AA122" s="36">
        <f>S122*Parametreler!$B$12</f>
        <v>16.019549918878049</v>
      </c>
      <c r="AB122" s="42">
        <f>AA122*F122</f>
        <v>208.25414894541464</v>
      </c>
      <c r="AC122" s="43" t="s">
        <v>261</v>
      </c>
      <c r="AD122" s="30" t="s">
        <v>96</v>
      </c>
      <c r="AE122" s="44">
        <f>INDEX('İşçilik Özet'!$W$6:$W$200,MATCH($A122&amp;"",'İşçilik Özet'!$A$6:$A$200,0))</f>
        <v>0</v>
      </c>
      <c r="AF122" s="44">
        <f>INDEX('İşçilik Özet'!$X$6:$X$200,MATCH($A122&amp;"",'İşçilik Özet'!$A$6:$A$200,0))</f>
        <v>7.9124999999999996</v>
      </c>
      <c r="AG122" s="44">
        <f>INDEX('İşçilik Özet'!$Y$6:$Y$200,MATCH($A122&amp;"",'İşçilik Özet'!$A$6:$A$200,0))</f>
        <v>3.31</v>
      </c>
      <c r="AH122" s="45">
        <f>(L122+P122)*F122+IF(E122="Kataforez",N(Q122)*F122,IF(E122="Yaş boya",ROUNDUP(F122/MAX(1,ROUND(IF(ISNUMBER(Q122),Q122,Parametreler!$B$11),0)),0)*Parametreler!$B$10,0))</f>
        <v>201.63227198980044</v>
      </c>
    </row>
    <row r="123" spans="1:34" ht="15" customHeight="1" x14ac:dyDescent="0.25">
      <c r="A123" s="30">
        <v>235233</v>
      </c>
      <c r="B123" s="30" t="s">
        <v>254</v>
      </c>
      <c r="C123" s="30" t="s">
        <v>255</v>
      </c>
      <c r="D123" s="30" t="s">
        <v>23</v>
      </c>
      <c r="E123" s="30" t="s">
        <v>86</v>
      </c>
      <c r="F123" s="31">
        <v>10</v>
      </c>
      <c r="G123" s="32">
        <v>2.4300000000000002</v>
      </c>
      <c r="H123" s="33">
        <f>INDEX('Sac Özet'!$L$5:$L$199,MATCH($A123&amp;"",'Sac Özet'!$A$5:$A$199,0))</f>
        <v>3.0648402721877024</v>
      </c>
      <c r="I123" s="33">
        <f>INDEX('Sac Özet'!$M$5:$M$199,MATCH($A123&amp;"",'Sac Özet'!$A$5:$A$199,0))</f>
        <v>0.63480997218770252</v>
      </c>
      <c r="J123" s="34">
        <f>INDEX('Sac Özet'!$N$5:$N$199,MATCH($A123&amp;"",'Sac Özet'!$A$5:$A$199,0))</f>
        <v>2.2441162268523684</v>
      </c>
      <c r="K123" s="35">
        <f>SUMPRODUCT((--'Satınalma Parçaları'!$A$2:$A$107=--$A123)*'Satınalma Parçaları'!$L$2:$L$107)</f>
        <v>0</v>
      </c>
      <c r="L123" s="36">
        <f>J123+N(K123)</f>
        <v>2.2441162268523684</v>
      </c>
      <c r="M123" s="37">
        <f>AE123/100*Parametreler!$B$7</f>
        <v>1.3109999999999999</v>
      </c>
      <c r="N123" s="37">
        <f>AF123/100*Parametreler!$B$8</f>
        <v>1.8325</v>
      </c>
      <c r="O123" s="37">
        <f>AG123/100*Parametreler!$B$9</f>
        <v>0.75</v>
      </c>
      <c r="P123" s="36">
        <f>SUM(M123:O123)</f>
        <v>3.8935</v>
      </c>
      <c r="Q123" s="38">
        <f>VLOOKUP($A123,'Yaş Boya Listesi'!$B$6:$L$131,11,FALSE())</f>
        <v>10</v>
      </c>
      <c r="R123" s="37">
        <f>IF(E123="Kataforez",N(Q123),IF(E123="Yaş boya",Parametreler!$B$10/MAX(1,ROUND(IF(ISNUMBER(Q123),Q123,Parametreler!$B$11),0)),0))</f>
        <v>8</v>
      </c>
      <c r="S123" s="36">
        <f>L123+P123+R123</f>
        <v>14.137616226852369</v>
      </c>
      <c r="T123" s="39">
        <f>IF(S123=0,0,L123/S123)</f>
        <v>0.15873370664780051</v>
      </c>
      <c r="U123" s="39">
        <f>IF(S123=0,0,P123/S123)</f>
        <v>0.2754000347388732</v>
      </c>
      <c r="V123" s="39">
        <f>IF(S123=0,0,R123/S123)</f>
        <v>0.56586625861332618</v>
      </c>
      <c r="W123" s="40">
        <f>SUM(AE123:AG123)/100*F123</f>
        <v>1.9467500000000002</v>
      </c>
      <c r="X123" s="37">
        <f>IF($G123=0,0,J123/$G123)</f>
        <v>0.92350462010385526</v>
      </c>
      <c r="Y123" s="37">
        <f>IF($G123=0,0,S123/$G123)</f>
        <v>5.8179490645482996</v>
      </c>
      <c r="Z123" s="41">
        <f>IF($G123=0,0,L123/$G123)</f>
        <v>0.92350462010385526</v>
      </c>
      <c r="AA123" s="36">
        <f>S123*Parametreler!$B$12</f>
        <v>20.216791204398888</v>
      </c>
      <c r="AB123" s="42">
        <f>AA123*F123</f>
        <v>202.16791204398888</v>
      </c>
      <c r="AC123" s="43"/>
      <c r="AD123" s="30" t="s">
        <v>91</v>
      </c>
      <c r="AE123" s="44">
        <f>INDEX('İşçilik Özet'!$W$6:$W$200,MATCH($A123&amp;"",'İşçilik Özet'!$A$6:$A$200,0))</f>
        <v>6.5549999999999997</v>
      </c>
      <c r="AF123" s="44">
        <f>INDEX('İşçilik Özet'!$X$6:$X$200,MATCH($A123&amp;"",'İşçilik Özet'!$A$6:$A$200,0))</f>
        <v>9.1624999999999996</v>
      </c>
      <c r="AG123" s="44">
        <f>INDEX('İşçilik Özet'!$Y$6:$Y$200,MATCH($A123&amp;"",'İşçilik Özet'!$A$6:$A$200,0))</f>
        <v>3.75</v>
      </c>
      <c r="AH123" s="45">
        <f>(L123+P123)*F123+IF(E123="Kataforez",N(Q123)*F123,IF(E123="Yaş boya",ROUNDUP(F123/MAX(1,ROUND(IF(ISNUMBER(Q123),Q123,Parametreler!$B$11),0)),0)*Parametreler!$B$10,0))</f>
        <v>141.37616226852367</v>
      </c>
    </row>
    <row r="124" spans="1:34" ht="15" customHeight="1" x14ac:dyDescent="0.25">
      <c r="A124" s="30">
        <v>235221</v>
      </c>
      <c r="B124" s="30" t="s">
        <v>248</v>
      </c>
      <c r="C124" s="30" t="s">
        <v>107</v>
      </c>
      <c r="D124" s="30" t="s">
        <v>23</v>
      </c>
      <c r="E124" s="30" t="s">
        <v>86</v>
      </c>
      <c r="F124" s="31">
        <v>10</v>
      </c>
      <c r="G124" s="32">
        <v>1.7310000000000001</v>
      </c>
      <c r="H124" s="33">
        <f>INDEX('Sac Özet'!$L$5:$L$199,MATCH($A124&amp;"",'Sac Özet'!$A$5:$A$199,0))</f>
        <v>2.1747363943243996</v>
      </c>
      <c r="I124" s="33">
        <f>INDEX('Sac Özet'!$M$5:$M$199,MATCH($A124&amp;"",'Sac Özet'!$A$5:$A$199,0))</f>
        <v>0.44367009432439952</v>
      </c>
      <c r="J124" s="34">
        <f>INDEX('Sac Özet'!$N$5:$N$199,MATCH($A124&amp;"",'Sac Özet'!$A$5:$A$199,0))</f>
        <v>1.5945879936806251</v>
      </c>
      <c r="K124" s="35">
        <f>SUMPRODUCT((--'Satınalma Parçaları'!$A$2:$A$107=--$A124)*'Satınalma Parçaları'!$L$2:$L$107)</f>
        <v>0</v>
      </c>
      <c r="L124" s="36">
        <f>J124+N(K124)</f>
        <v>1.5945879936806251</v>
      </c>
      <c r="M124" s="37">
        <f>AE124/100*Parametreler!$B$7</f>
        <v>1.3109999999999999</v>
      </c>
      <c r="N124" s="37">
        <f>AF124/100*Parametreler!$B$8</f>
        <v>2.0825</v>
      </c>
      <c r="O124" s="37">
        <f>AG124/100*Parametreler!$B$9</f>
        <v>0.95</v>
      </c>
      <c r="P124" s="36">
        <f>SUM(M124:O124)</f>
        <v>4.3434999999999997</v>
      </c>
      <c r="Q124" s="38">
        <f>VLOOKUP($A124,'Yaş Boya Listesi'!$B$6:$L$131,11,FALSE())</f>
        <v>10</v>
      </c>
      <c r="R124" s="37">
        <f>IF(E124="Kataforez",N(Q124),IF(E124="Yaş boya",Parametreler!$B$10/MAX(1,ROUND(IF(ISNUMBER(Q124),Q124,Parametreler!$B$11),0)),0))</f>
        <v>8</v>
      </c>
      <c r="S124" s="36">
        <f>L124+P124+R124</f>
        <v>13.938087993680625</v>
      </c>
      <c r="T124" s="39">
        <f>IF(S124=0,0,L124/S124)</f>
        <v>0.11440507438348743</v>
      </c>
      <c r="U124" s="39">
        <f>IF(S124=0,0,P124/S124)</f>
        <v>0.31162810867382201</v>
      </c>
      <c r="V124" s="39">
        <f>IF(S124=0,0,R124/S124)</f>
        <v>0.57396681694269047</v>
      </c>
      <c r="W124" s="40">
        <f>SUM(AE124:AG124)/100*F124</f>
        <v>2.1717500000000003</v>
      </c>
      <c r="X124" s="37">
        <f>IF($G124=0,0,J124/$G124)</f>
        <v>0.92119468150238304</v>
      </c>
      <c r="Y124" s="37">
        <f>IF($G124=0,0,S124/$G124)</f>
        <v>8.0520439016063694</v>
      </c>
      <c r="Z124" s="41">
        <f>IF($G124=0,0,L124/$G124)</f>
        <v>0.92119468150238304</v>
      </c>
      <c r="AA124" s="36">
        <f>S124*Parametreler!$B$12</f>
        <v>19.931465830963294</v>
      </c>
      <c r="AB124" s="42">
        <f>AA124*F124</f>
        <v>199.31465830963293</v>
      </c>
      <c r="AC124" s="43"/>
      <c r="AD124" s="30" t="s">
        <v>91</v>
      </c>
      <c r="AE124" s="44">
        <f>INDEX('İşçilik Özet'!$W$6:$W$200,MATCH($A124&amp;"",'İşçilik Özet'!$A$6:$A$200,0))</f>
        <v>6.5549999999999997</v>
      </c>
      <c r="AF124" s="44">
        <f>INDEX('İşçilik Özet'!$X$6:$X$200,MATCH($A124&amp;"",'İşçilik Özet'!$A$6:$A$200,0))</f>
        <v>10.4125</v>
      </c>
      <c r="AG124" s="44">
        <f>INDEX('İşçilik Özet'!$Y$6:$Y$200,MATCH($A124&amp;"",'İşçilik Özet'!$A$6:$A$200,0))</f>
        <v>4.75</v>
      </c>
      <c r="AH124" s="45">
        <f>(L124+P124)*F124+IF(E124="Kataforez",N(Q124)*F124,IF(E124="Yaş boya",ROUNDUP(F124/MAX(1,ROUND(IF(ISNUMBER(Q124),Q124,Parametreler!$B$11),0)),0)*Parametreler!$B$10,0))</f>
        <v>139.38087993680625</v>
      </c>
    </row>
    <row r="125" spans="1:34" ht="15" customHeight="1" x14ac:dyDescent="0.25">
      <c r="A125" s="30">
        <v>236541</v>
      </c>
      <c r="B125" s="30" t="s">
        <v>282</v>
      </c>
      <c r="C125" s="30" t="s">
        <v>117</v>
      </c>
      <c r="D125" s="30" t="s">
        <v>23</v>
      </c>
      <c r="E125" s="30" t="s">
        <v>86</v>
      </c>
      <c r="F125" s="31">
        <v>5</v>
      </c>
      <c r="G125" s="32">
        <v>4.4770000000000003</v>
      </c>
      <c r="H125" s="33">
        <f>INDEX('Sac Özet'!$L$5:$L$199,MATCH($A125&amp;"",'Sac Özet'!$A$5:$A$199,0))</f>
        <v>5.6583019127330045</v>
      </c>
      <c r="I125" s="33">
        <f>INDEX('Sac Özet'!$M$5:$M$199,MATCH($A125&amp;"",'Sac Özet'!$A$5:$A$199,0))</f>
        <v>1.1812742127330051</v>
      </c>
      <c r="J125" s="34">
        <f>INDEX('Sac Özet'!$N$5:$N$199,MATCH($A125&amp;"",'Sac Özet'!$A$5:$A$199,0))</f>
        <v>4.1400426969283295</v>
      </c>
      <c r="K125" s="35">
        <f>SUMPRODUCT((--'Satınalma Parçaları'!$A$2:$A$107=--$A125)*'Satınalma Parçaları'!$L$2:$L$107)</f>
        <v>0</v>
      </c>
      <c r="L125" s="36">
        <f>J125+N(K125)</f>
        <v>4.1400426969283295</v>
      </c>
      <c r="M125" s="37">
        <f>AE125/100*Parametreler!$B$7</f>
        <v>1.081</v>
      </c>
      <c r="N125" s="37">
        <f>AF125/100*Parametreler!$B$8</f>
        <v>1.8325</v>
      </c>
      <c r="O125" s="37">
        <f>AG125/100*Parametreler!$B$9</f>
        <v>0.89000000000000012</v>
      </c>
      <c r="P125" s="36">
        <f>SUM(M125:O125)</f>
        <v>3.8035000000000001</v>
      </c>
      <c r="Q125" s="38">
        <f>VLOOKUP($A125,'Yaş Boya Listesi'!$B$6:$L$131,11,FALSE())</f>
        <v>4</v>
      </c>
      <c r="R125" s="37">
        <f>IF(E125="Kataforez",N(Q125),IF(E125="Yaş boya",Parametreler!$B$10/MAX(1,ROUND(IF(ISNUMBER(Q125),Q125,Parametreler!$B$11),0)),0))</f>
        <v>20</v>
      </c>
      <c r="S125" s="36">
        <f>L125+P125+R125</f>
        <v>27.943542696928329</v>
      </c>
      <c r="T125" s="39">
        <f>IF(S125=0,0,L125/S125)</f>
        <v>0.14815740229614552</v>
      </c>
      <c r="U125" s="39">
        <f>IF(S125=0,0,P125/S125)</f>
        <v>0.136113736230664</v>
      </c>
      <c r="V125" s="39">
        <f>IF(S125=0,0,R125/S125)</f>
        <v>0.71572886147319048</v>
      </c>
      <c r="W125" s="40">
        <f>SUM(AE125:AG125)/100*F125</f>
        <v>0.95087499999999991</v>
      </c>
      <c r="X125" s="37">
        <f>IF($G125=0,0,J125/$G125)</f>
        <v>0.92473591622254392</v>
      </c>
      <c r="Y125" s="37">
        <f>IF($G125=0,0,S125/$G125)</f>
        <v>6.2415775512459968</v>
      </c>
      <c r="Z125" s="41">
        <f>IF($G125=0,0,L125/$G125)</f>
        <v>0.92473591622254392</v>
      </c>
      <c r="AA125" s="36">
        <f>S125*Parametreler!$B$12</f>
        <v>39.959266056607511</v>
      </c>
      <c r="AB125" s="42">
        <f>AA125*F125</f>
        <v>199.79633028303755</v>
      </c>
      <c r="AC125" s="43"/>
      <c r="AD125" s="30" t="s">
        <v>91</v>
      </c>
      <c r="AE125" s="44">
        <f>INDEX('İşçilik Özet'!$W$6:$W$200,MATCH($A125&amp;"",'İşçilik Özet'!$A$6:$A$200,0))</f>
        <v>5.4049999999999994</v>
      </c>
      <c r="AF125" s="44">
        <f>INDEX('İşçilik Özet'!$X$6:$X$200,MATCH($A125&amp;"",'İşçilik Özet'!$A$6:$A$200,0))</f>
        <v>9.1624999999999996</v>
      </c>
      <c r="AG125" s="44">
        <f>INDEX('İşçilik Özet'!$Y$6:$Y$200,MATCH($A125&amp;"",'İşçilik Özet'!$A$6:$A$200,0))</f>
        <v>4.45</v>
      </c>
      <c r="AH125" s="45">
        <f>(L125+P125)*F125+IF(E125="Kataforez",N(Q125)*F125,IF(E125="Yaş boya",ROUNDUP(F125/MAX(1,ROUND(IF(ISNUMBER(Q125),Q125,Parametreler!$B$11),0)),0)*Parametreler!$B$10,0))</f>
        <v>199.71771348464165</v>
      </c>
    </row>
    <row r="126" spans="1:34" ht="15" customHeight="1" x14ac:dyDescent="0.25">
      <c r="A126" s="30">
        <v>1298458</v>
      </c>
      <c r="B126" s="30" t="s">
        <v>321</v>
      </c>
      <c r="C126" s="30" t="s">
        <v>99</v>
      </c>
      <c r="D126" s="30" t="s">
        <v>23</v>
      </c>
      <c r="E126" s="30" t="s">
        <v>124</v>
      </c>
      <c r="F126" s="31">
        <v>13</v>
      </c>
      <c r="G126" s="32">
        <v>3.1589999999999998</v>
      </c>
      <c r="H126" s="33">
        <f>INDEX('Sac Özet'!$L$5:$L$199,MATCH($A126&amp;"",'Sac Özet'!$A$5:$A$199,0))</f>
        <v>3.977060273501499</v>
      </c>
      <c r="I126" s="33">
        <f>INDEX('Sac Özet'!$M$5:$M$199,MATCH($A126&amp;"",'Sac Özet'!$A$5:$A$199,0))</f>
        <v>0.81810252350149926</v>
      </c>
      <c r="J126" s="34">
        <f>INDEX('Sac Özet'!$N$5:$N$199,MATCH($A126&amp;"",'Sac Özet'!$A$5:$A$199,0))</f>
        <v>2.9139055747461637</v>
      </c>
      <c r="K126" s="35">
        <f>SUMPRODUCT((--'Satınalma Parçaları'!$A$2:$A$107=--$A126)*'Satınalma Parçaları'!$L$2:$L$107)</f>
        <v>0</v>
      </c>
      <c r="L126" s="36">
        <f>J126+N(K126)</f>
        <v>2.9139055747461637</v>
      </c>
      <c r="M126" s="37">
        <f>AE126/100*Parametreler!$B$7</f>
        <v>1.081</v>
      </c>
      <c r="N126" s="37">
        <f>AF126/100*Parametreler!$B$8</f>
        <v>2.3325</v>
      </c>
      <c r="O126" s="37">
        <f>AG126/100*Parametreler!$B$9</f>
        <v>4.5204000000000004</v>
      </c>
      <c r="P126" s="36">
        <f>SUM(M126:O126)</f>
        <v>7.9339000000000004</v>
      </c>
      <c r="Q126" s="47"/>
      <c r="R126" s="37">
        <f>IF(E126="Kataforez",N(Q126),IF(E126="Yaş boya",Parametreler!$B$10/MAX(1,ROUND(IF(ISNUMBER(Q126),Q126,Parametreler!$B$11),0)),0))</f>
        <v>0</v>
      </c>
      <c r="S126" s="36">
        <f>L126+P126+R126</f>
        <v>10.847805574746165</v>
      </c>
      <c r="T126" s="39">
        <f>IF(S126=0,0,L126/S126)</f>
        <v>0.26861705389795837</v>
      </c>
      <c r="U126" s="39">
        <f>IF(S126=0,0,P126/S126)</f>
        <v>0.73138294610204158</v>
      </c>
      <c r="V126" s="39">
        <f>IF(S126=0,0,R126/S126)</f>
        <v>0</v>
      </c>
      <c r="W126" s="40">
        <f>SUM(AE126:AG126)/100*F126</f>
        <v>5.1570350000000005</v>
      </c>
      <c r="X126" s="37">
        <f>IF($G126=0,0,J126/$G126)</f>
        <v>0.92241392046412285</v>
      </c>
      <c r="Y126" s="37">
        <f>IF($G126=0,0,S126/$G126)</f>
        <v>3.4339365542089793</v>
      </c>
      <c r="Z126" s="41">
        <f>IF($G126=0,0,L126/$G126)</f>
        <v>0.92241392046412285</v>
      </c>
      <c r="AA126" s="36">
        <f>S126*Parametreler!$B$12</f>
        <v>15.512361971887014</v>
      </c>
      <c r="AB126" s="42">
        <f>AA126*F126</f>
        <v>201.66070563453118</v>
      </c>
      <c r="AC126" s="43"/>
      <c r="AD126" s="30" t="s">
        <v>91</v>
      </c>
      <c r="AE126" s="44">
        <f>INDEX('İşçilik Özet'!$W$6:$W$200,MATCH($A126&amp;"",'İşçilik Özet'!$A$6:$A$200,0))</f>
        <v>5.4049999999999994</v>
      </c>
      <c r="AF126" s="44">
        <f>INDEX('İşçilik Özet'!$X$6:$X$200,MATCH($A126&amp;"",'İşçilik Özet'!$A$6:$A$200,0))</f>
        <v>11.6625</v>
      </c>
      <c r="AG126" s="44">
        <f>INDEX('İşçilik Özet'!$Y$6:$Y$200,MATCH($A126&amp;"",'İşçilik Özet'!$A$6:$A$200,0))</f>
        <v>22.602</v>
      </c>
      <c r="AH126" s="45">
        <f>(L126+P126)*F126+IF(E126="Kataforez",N(Q126)*F126,IF(E126="Yaş boya",ROUNDUP(F126/MAX(1,ROUND(IF(ISNUMBER(Q126),Q126,Parametreler!$B$11),0)),0)*Parametreler!$B$10,0))</f>
        <v>141.02147247170015</v>
      </c>
    </row>
    <row r="127" spans="1:34" ht="15" customHeight="1" x14ac:dyDescent="0.25">
      <c r="A127" s="30">
        <v>235256</v>
      </c>
      <c r="B127" s="30" t="s">
        <v>249</v>
      </c>
      <c r="C127" s="30" t="s">
        <v>194</v>
      </c>
      <c r="D127" s="30" t="s">
        <v>23</v>
      </c>
      <c r="E127" s="30" t="s">
        <v>86</v>
      </c>
      <c r="F127" s="31">
        <v>10</v>
      </c>
      <c r="G127" s="32">
        <v>1.4259999999999999</v>
      </c>
      <c r="H127" s="33">
        <f>INDEX('Sac Özet'!$L$5:$L$199,MATCH($A127&amp;"",'Sac Özet'!$A$5:$A$199,0))</f>
        <v>1.7881261875173884</v>
      </c>
      <c r="I127" s="33">
        <f>INDEX('Sac Özet'!$M$5:$M$199,MATCH($A127&amp;"",'Sac Özet'!$A$5:$A$199,0))</f>
        <v>0.36217368751738838</v>
      </c>
      <c r="J127" s="34">
        <f>INDEX('Sac Özet'!$N$5:$N$199,MATCH($A127&amp;"",'Sac Özet'!$A$5:$A$199,0))</f>
        <v>1.3119713795536745</v>
      </c>
      <c r="K127" s="35">
        <f>SUMPRODUCT((--'Satınalma Parçaları'!$A$2:$A$107=--$A127)*'Satınalma Parçaları'!$L$2:$L$107)</f>
        <v>0</v>
      </c>
      <c r="L127" s="36">
        <f>J127+N(K127)</f>
        <v>1.3119713795536745</v>
      </c>
      <c r="M127" s="37">
        <f>AE127/100*Parametreler!$B$7</f>
        <v>1.3109999999999999</v>
      </c>
      <c r="N127" s="37">
        <f>AF127/100*Parametreler!$B$8</f>
        <v>2.0825</v>
      </c>
      <c r="O127" s="37">
        <f>AG127/100*Parametreler!$B$9</f>
        <v>0.95</v>
      </c>
      <c r="P127" s="36">
        <f>SUM(M127:O127)</f>
        <v>4.3434999999999997</v>
      </c>
      <c r="Q127" s="38">
        <f>VLOOKUP($A127,'Yaş Boya Listesi'!$B$6:$L$131,11,FALSE())</f>
        <v>10</v>
      </c>
      <c r="R127" s="37">
        <f>IF(E127="Kataforez",N(Q127),IF(E127="Yaş boya",Parametreler!$B$10/MAX(1,ROUND(IF(ISNUMBER(Q127),Q127,Parametreler!$B$11),0)),0))</f>
        <v>8</v>
      </c>
      <c r="S127" s="36">
        <f>L127+P127+R127</f>
        <v>13.655471379553674</v>
      </c>
      <c r="T127" s="39">
        <f>IF(S127=0,0,L127/S127)</f>
        <v>9.6076608641872896E-2</v>
      </c>
      <c r="U127" s="39">
        <f>IF(S127=0,0,P127/S127)</f>
        <v>0.31807763198153077</v>
      </c>
      <c r="V127" s="39">
        <f>IF(S127=0,0,R127/S127)</f>
        <v>0.58584575937659633</v>
      </c>
      <c r="W127" s="40">
        <f>SUM(AE127:AG127)/100*F127</f>
        <v>2.1717500000000003</v>
      </c>
      <c r="X127" s="37">
        <f>IF($G127=0,0,J127/$G127)</f>
        <v>0.92003603054254879</v>
      </c>
      <c r="Y127" s="37">
        <f>IF($G127=0,0,S127/$G127)</f>
        <v>9.5760668860825202</v>
      </c>
      <c r="Z127" s="41">
        <f>IF($G127=0,0,L127/$G127)</f>
        <v>0.92003603054254879</v>
      </c>
      <c r="AA127" s="36">
        <f>S127*Parametreler!$B$12</f>
        <v>19.527324072761754</v>
      </c>
      <c r="AB127" s="42">
        <f>AA127*F127</f>
        <v>195.27324072761755</v>
      </c>
      <c r="AC127" s="43"/>
      <c r="AD127" s="30" t="s">
        <v>91</v>
      </c>
      <c r="AE127" s="44">
        <f>INDEX('İşçilik Özet'!$W$6:$W$200,MATCH($A127&amp;"",'İşçilik Özet'!$A$6:$A$200,0))</f>
        <v>6.5549999999999997</v>
      </c>
      <c r="AF127" s="44">
        <f>INDEX('İşçilik Özet'!$X$6:$X$200,MATCH($A127&amp;"",'İşçilik Özet'!$A$6:$A$200,0))</f>
        <v>10.4125</v>
      </c>
      <c r="AG127" s="44">
        <f>INDEX('İşçilik Özet'!$Y$6:$Y$200,MATCH($A127&amp;"",'İşçilik Özet'!$A$6:$A$200,0))</f>
        <v>4.75</v>
      </c>
      <c r="AH127" s="45">
        <f>(L127+P127)*F127+IF(E127="Kataforez",N(Q127)*F127,IF(E127="Yaş boya",ROUNDUP(F127/MAX(1,ROUND(IF(ISNUMBER(Q127),Q127,Parametreler!$B$11),0)),0)*Parametreler!$B$10,0))</f>
        <v>136.55471379553674</v>
      </c>
    </row>
    <row r="128" spans="1:34" ht="15" customHeight="1" x14ac:dyDescent="0.25">
      <c r="A128" s="30">
        <v>234456</v>
      </c>
      <c r="B128" s="30" t="s">
        <v>329</v>
      </c>
      <c r="C128" s="30" t="s">
        <v>93</v>
      </c>
      <c r="D128" s="30" t="s">
        <v>85</v>
      </c>
      <c r="E128" s="30" t="s">
        <v>124</v>
      </c>
      <c r="F128" s="31">
        <v>10</v>
      </c>
      <c r="G128" s="32">
        <v>8.2029999999999994</v>
      </c>
      <c r="H128" s="33">
        <f>INDEX('Sac Özet'!$L$5:$L$199,MATCH($A128&amp;"",'Sac Özet'!$A$5:$A$199,0))</f>
        <v>8.6380602439999983</v>
      </c>
      <c r="I128" s="33">
        <f>INDEX('Sac Özet'!$M$5:$M$199,MATCH($A128&amp;"",'Sac Özet'!$A$5:$A$199,0))</f>
        <v>0.360926044</v>
      </c>
      <c r="J128" s="34">
        <f>INDEX('Sac Özet'!$N$5:$N$199,MATCH($A128&amp;"",'Sac Özet'!$A$5:$A$199,0))</f>
        <v>6.792326944436363</v>
      </c>
      <c r="K128" s="35">
        <f>SUMPRODUCT((--'Satınalma Parçaları'!$A$2:$A$107=--$A128)*'Satınalma Parçaları'!$L$2:$L$107)</f>
        <v>0</v>
      </c>
      <c r="L128" s="36">
        <f>J128+N(K128)</f>
        <v>6.792326944436363</v>
      </c>
      <c r="M128" s="37">
        <f>AE128/100*Parametreler!$B$7</f>
        <v>0</v>
      </c>
      <c r="N128" s="37">
        <f>AF128/100*Parametreler!$B$8</f>
        <v>3.0824999999999996</v>
      </c>
      <c r="O128" s="37">
        <f>AG128/100*Parametreler!$B$9</f>
        <v>4.2240000000000002</v>
      </c>
      <c r="P128" s="36">
        <f>SUM(M128:O128)</f>
        <v>7.3064999999999998</v>
      </c>
      <c r="Q128" s="47"/>
      <c r="R128" s="37">
        <f>IF(E128="Kataforez",N(Q128),IF(E128="Yaş boya",Parametreler!$B$10/MAX(1,ROUND(IF(ISNUMBER(Q128),Q128,Parametreler!$B$11),0)),0))</f>
        <v>0</v>
      </c>
      <c r="S128" s="36">
        <f>L128+P128+R128</f>
        <v>14.098826944436363</v>
      </c>
      <c r="T128" s="39">
        <f>IF(S128=0,0,L128/S128)</f>
        <v>0.48176539588754447</v>
      </c>
      <c r="U128" s="39">
        <f>IF(S128=0,0,P128/S128)</f>
        <v>0.51823460411245559</v>
      </c>
      <c r="V128" s="39">
        <f>IF(S128=0,0,R128/S128)</f>
        <v>0</v>
      </c>
      <c r="W128" s="40">
        <f>SUM(AE128:AG128)/100*F128</f>
        <v>3.6532499999999999</v>
      </c>
      <c r="X128" s="37">
        <f>IF($G128=0,0,J128/$G128)</f>
        <v>0.82802961653497054</v>
      </c>
      <c r="Y128" s="37">
        <f>IF($G128=0,0,S128/$G128)</f>
        <v>1.7187403321268273</v>
      </c>
      <c r="Z128" s="41">
        <f>IF($G128=0,0,L128/$G128)</f>
        <v>0.82802961653497054</v>
      </c>
      <c r="AA128" s="36">
        <f>S128*Parametreler!$B$12</f>
        <v>20.161322530543998</v>
      </c>
      <c r="AB128" s="42">
        <f>AA128*F128</f>
        <v>201.61322530543998</v>
      </c>
      <c r="AC128" s="43"/>
      <c r="AD128" s="30"/>
      <c r="AE128" s="44">
        <f>INDEX('İşçilik Özet'!$W$6:$W$200,MATCH($A128&amp;"",'İşçilik Özet'!$A$6:$A$200,0))</f>
        <v>0</v>
      </c>
      <c r="AF128" s="44">
        <f>INDEX('İşçilik Özet'!$X$6:$X$200,MATCH($A128&amp;"",'İşçilik Özet'!$A$6:$A$200,0))</f>
        <v>15.4125</v>
      </c>
      <c r="AG128" s="44">
        <f>INDEX('İşçilik Özet'!$Y$6:$Y$200,MATCH($A128&amp;"",'İşçilik Özet'!$A$6:$A$200,0))</f>
        <v>21.12</v>
      </c>
      <c r="AH128" s="45">
        <f>(L128+P128)*F128+IF(E128="Kataforez",N(Q128)*F128,IF(E128="Yaş boya",ROUNDUP(F128/MAX(1,ROUND(IF(ISNUMBER(Q128),Q128,Parametreler!$B$11),0)),0)*Parametreler!$B$10,0))</f>
        <v>140.98826944436362</v>
      </c>
    </row>
    <row r="129" spans="1:34" ht="15" customHeight="1" x14ac:dyDescent="0.25">
      <c r="A129" s="30">
        <v>121655</v>
      </c>
      <c r="B129" s="30" t="s">
        <v>238</v>
      </c>
      <c r="C129" s="30" t="s">
        <v>148</v>
      </c>
      <c r="D129" s="30" t="s">
        <v>23</v>
      </c>
      <c r="E129" s="30" t="s">
        <v>86</v>
      </c>
      <c r="F129" s="31">
        <v>15</v>
      </c>
      <c r="G129" s="32">
        <v>0.67900000000000005</v>
      </c>
      <c r="H129" s="33">
        <f>INDEX('Sac Özet'!$L$5:$L$199,MATCH($A129&amp;"",'Sac Özet'!$A$5:$A$199,0))</f>
        <v>0.21039790874524711</v>
      </c>
      <c r="I129" s="33">
        <f>INDEX('Sac Özet'!$M$5:$M$199,MATCH($A129&amp;"",'Sac Özet'!$A$5:$A$199,0))</f>
        <v>4.4393958745247146E-2</v>
      </c>
      <c r="J129" s="34">
        <f>INDEX('Sac Özet'!$N$5:$N$199,MATCH($A129&amp;"",'Sac Özet'!$A$5:$A$199,0))</f>
        <v>0.15378939504320777</v>
      </c>
      <c r="K129" s="35">
        <f>SUMPRODUCT((--'Satınalma Parçaları'!$A$2:$A$107=--$A129)*'Satınalma Parçaları'!$L$2:$L$107)</f>
        <v>0.79</v>
      </c>
      <c r="L129" s="36">
        <f>J129+N(K129)</f>
        <v>0.9437893950432078</v>
      </c>
      <c r="M129" s="37">
        <f>AE129/100*Parametreler!$B$7</f>
        <v>1.081</v>
      </c>
      <c r="N129" s="37">
        <f>AF129/100*Parametreler!$B$8</f>
        <v>1.8325</v>
      </c>
      <c r="O129" s="37">
        <f>AG129/100*Parametreler!$B$9</f>
        <v>0.61</v>
      </c>
      <c r="P129" s="36">
        <f>SUM(M129:O129)</f>
        <v>3.5234999999999999</v>
      </c>
      <c r="Q129" s="38">
        <f>VLOOKUP($A129,'Yaş Boya Listesi'!$B$6:$L$131,11,FALSE())</f>
        <v>20</v>
      </c>
      <c r="R129" s="37">
        <f>IF(E129="Kataforez",N(Q129),IF(E129="Yaş boya",Parametreler!$B$10/MAX(1,ROUND(IF(ISNUMBER(Q129),Q129,Parametreler!$B$11),0)),0))</f>
        <v>4</v>
      </c>
      <c r="S129" s="36">
        <f>L129+P129+R129</f>
        <v>8.467289395043208</v>
      </c>
      <c r="T129" s="39">
        <f>IF(S129=0,0,L129/S129)</f>
        <v>0.11146299022160583</v>
      </c>
      <c r="U129" s="39">
        <f>IF(S129=0,0,P129/S129)</f>
        <v>0.41613081065384083</v>
      </c>
      <c r="V129" s="39">
        <f>IF(S129=0,0,R129/S129)</f>
        <v>0.47240619912455328</v>
      </c>
      <c r="W129" s="40">
        <f>SUM(AE129:AG129)/100*F129</f>
        <v>2.6426249999999998</v>
      </c>
      <c r="X129" s="37">
        <f>IF($G129=0,0,J129/$G129)</f>
        <v>0.22649395440825884</v>
      </c>
      <c r="Y129" s="37">
        <f>IF($G129=0,0,S129/$G129)</f>
        <v>12.470234749695445</v>
      </c>
      <c r="Z129" s="41">
        <f>IF($G129=0,0,L129/$G129)</f>
        <v>1.3899696539664326</v>
      </c>
      <c r="AA129" s="36">
        <f>S129*Parametreler!$B$12</f>
        <v>12.108223834911787</v>
      </c>
      <c r="AB129" s="42">
        <f>AA129*F129</f>
        <v>181.62335752367679</v>
      </c>
      <c r="AC129" s="43" t="s">
        <v>239</v>
      </c>
      <c r="AD129" s="30" t="s">
        <v>96</v>
      </c>
      <c r="AE129" s="44">
        <f>INDEX('İşçilik Özet'!$W$6:$W$200,MATCH($A129&amp;"",'İşçilik Özet'!$A$6:$A$200,0))</f>
        <v>5.4049999999999994</v>
      </c>
      <c r="AF129" s="44">
        <f>INDEX('İşçilik Özet'!$X$6:$X$200,MATCH($A129&amp;"",'İşçilik Özet'!$A$6:$A$200,0))</f>
        <v>9.1624999999999996</v>
      </c>
      <c r="AG129" s="44">
        <f>INDEX('İşçilik Özet'!$Y$6:$Y$200,MATCH($A129&amp;"",'İşçilik Özet'!$A$6:$A$200,0))</f>
        <v>3.05</v>
      </c>
      <c r="AH129" s="45">
        <f>(L129+P129)*F129+IF(E129="Kataforez",N(Q129)*F129,IF(E129="Yaş boya",ROUNDUP(F129/MAX(1,ROUND(IF(ISNUMBER(Q129),Q129,Parametreler!$B$11),0)),0)*Parametreler!$B$10,0))</f>
        <v>147.00934092564813</v>
      </c>
    </row>
    <row r="130" spans="1:34" ht="15" customHeight="1" x14ac:dyDescent="0.25">
      <c r="A130" s="30">
        <v>1252928</v>
      </c>
      <c r="B130" s="30" t="s">
        <v>146</v>
      </c>
      <c r="C130" s="30" t="s">
        <v>99</v>
      </c>
      <c r="D130" s="30" t="s">
        <v>23</v>
      </c>
      <c r="E130" s="30" t="s">
        <v>86</v>
      </c>
      <c r="F130" s="31">
        <v>5</v>
      </c>
      <c r="G130" s="32">
        <v>2.746</v>
      </c>
      <c r="H130" s="33">
        <f>INDEX('Sac Özet'!$L$5:$L$199,MATCH($A130&amp;"",'Sac Özet'!$A$5:$A$199,0))</f>
        <v>3.480315906210393</v>
      </c>
      <c r="I130" s="33">
        <f>INDEX('Sac Özet'!$M$5:$M$199,MATCH($A130&amp;"",'Sac Özet'!$A$5:$A$199,0))</f>
        <v>0.73434665621039275</v>
      </c>
      <c r="J130" s="34">
        <f>INDEX('Sac Özet'!$N$5:$N$199,MATCH($A130&amp;"",'Sac Özet'!$A$5:$A$199,0))</f>
        <v>2.5439210920267312</v>
      </c>
      <c r="K130" s="35">
        <f>SUMPRODUCT((--'Satınalma Parçaları'!$A$2:$A$107=--$A130)*'Satınalma Parçaları'!$L$2:$L$107)</f>
        <v>0</v>
      </c>
      <c r="L130" s="36">
        <f>J130+N(K130)</f>
        <v>2.5439210920267312</v>
      </c>
      <c r="M130" s="37">
        <f>AE130/100*Parametreler!$B$7</f>
        <v>3.7030000000000003</v>
      </c>
      <c r="N130" s="37">
        <f>AF130/100*Parametreler!$B$8</f>
        <v>2.5824999999999996</v>
      </c>
      <c r="O130" s="37">
        <f>AG130/100*Parametreler!$B$9</f>
        <v>1.9</v>
      </c>
      <c r="P130" s="36">
        <f>SUM(M130:O130)</f>
        <v>8.1854999999999993</v>
      </c>
      <c r="Q130" s="38">
        <f>VLOOKUP($A130,'Yaş Boya Listesi'!$B$6:$L$131,11,FALSE())</f>
        <v>6</v>
      </c>
      <c r="R130" s="37">
        <f>IF(E130="Kataforez",N(Q130),IF(E130="Yaş boya",Parametreler!$B$10/MAX(1,ROUND(IF(ISNUMBER(Q130),Q130,Parametreler!$B$11),0)),0))</f>
        <v>13.333333333333334</v>
      </c>
      <c r="S130" s="36">
        <f>L130+P130+R130</f>
        <v>24.062754425360062</v>
      </c>
      <c r="T130" s="39">
        <f>IF(S130=0,0,L130/S130)</f>
        <v>0.10572027819664978</v>
      </c>
      <c r="U130" s="39">
        <f>IF(S130=0,0,P130/S130)</f>
        <v>0.34017302654982801</v>
      </c>
      <c r="V130" s="39">
        <f>IF(S130=0,0,R130/S130)</f>
        <v>0.5541066952535223</v>
      </c>
      <c r="W130" s="40">
        <f>SUM(AE130:AG130)/100*F130</f>
        <v>2.0463749999999998</v>
      </c>
      <c r="X130" s="37">
        <f>IF($G130=0,0,J130/$G130)</f>
        <v>0.92640972033020075</v>
      </c>
      <c r="Y130" s="37">
        <f>IF($G130=0,0,S130/$G130)</f>
        <v>8.7628384651711801</v>
      </c>
      <c r="Z130" s="41">
        <f>IF($G130=0,0,L130/$G130)</f>
        <v>0.92640972033020075</v>
      </c>
      <c r="AA130" s="36">
        <f>S130*Parametreler!$B$12</f>
        <v>34.409738828264885</v>
      </c>
      <c r="AB130" s="42">
        <f>AA130*F130</f>
        <v>172.04869414132443</v>
      </c>
      <c r="AC130" s="43"/>
      <c r="AD130" s="30" t="s">
        <v>91</v>
      </c>
      <c r="AE130" s="44">
        <f>INDEX('İşçilik Özet'!$W$6:$W$200,MATCH($A130&amp;"",'İşçilik Özet'!$A$6:$A$200,0))</f>
        <v>18.515000000000001</v>
      </c>
      <c r="AF130" s="44">
        <f>INDEX('İşçilik Özet'!$X$6:$X$200,MATCH($A130&amp;"",'İşçilik Özet'!$A$6:$A$200,0))</f>
        <v>12.9125</v>
      </c>
      <c r="AG130" s="44">
        <f>INDEX('İşçilik Özet'!$Y$6:$Y$200,MATCH($A130&amp;"",'İşçilik Özet'!$A$6:$A$200,0))</f>
        <v>9.5</v>
      </c>
      <c r="AH130" s="45">
        <f>(L130+P130)*F130+IF(E130="Kataforez",N(Q130)*F130,IF(E130="Yaş boya",ROUNDUP(F130/MAX(1,ROUND(IF(ISNUMBER(Q130),Q130,Parametreler!$B$11),0)),0)*Parametreler!$B$10,0))</f>
        <v>133.64710546013364</v>
      </c>
    </row>
    <row r="131" spans="1:34" ht="15" customHeight="1" x14ac:dyDescent="0.25">
      <c r="A131" s="30">
        <v>771104</v>
      </c>
      <c r="B131" s="30" t="s">
        <v>327</v>
      </c>
      <c r="C131" s="30" t="s">
        <v>107</v>
      </c>
      <c r="D131" s="30" t="s">
        <v>23</v>
      </c>
      <c r="E131" s="30" t="s">
        <v>124</v>
      </c>
      <c r="F131" s="31">
        <v>10</v>
      </c>
      <c r="G131" s="32">
        <v>5.24</v>
      </c>
      <c r="H131" s="33">
        <f>INDEX('Sac Özet'!$L$5:$L$199,MATCH($A131&amp;"",'Sac Özet'!$A$5:$A$199,0))</f>
        <v>2.1223182613836591</v>
      </c>
      <c r="I131" s="33">
        <f>INDEX('Sac Özet'!$M$5:$M$199,MATCH($A131&amp;"",'Sac Özet'!$A$5:$A$199,0))</f>
        <v>0.42233011138365933</v>
      </c>
      <c r="J131" s="34">
        <f>INDEX('Sac Özet'!$N$5:$N$199,MATCH($A131&amp;"",'Sac Özet'!$A$5:$A$199,0))</f>
        <v>1.5596374817450025</v>
      </c>
      <c r="K131" s="35">
        <f>SUMPRODUCT((--'Satınalma Parçaları'!$A$2:$A$107=--$A131)*'Satınalma Parçaları'!$L$2:$L$107)</f>
        <v>2.99</v>
      </c>
      <c r="L131" s="36">
        <f>J131+N(K131)</f>
        <v>4.5496374817450027</v>
      </c>
      <c r="M131" s="37">
        <f>AE131/100*Parametreler!$B$7</f>
        <v>1.3109999999999999</v>
      </c>
      <c r="N131" s="37">
        <f>AF131/100*Parametreler!$B$8</f>
        <v>3.8325000000000005</v>
      </c>
      <c r="O131" s="37">
        <f>AG131/100*Parametreler!$B$9</f>
        <v>2.1827999999999999</v>
      </c>
      <c r="P131" s="36">
        <f>SUM(M131:O131)</f>
        <v>7.3262999999999998</v>
      </c>
      <c r="Q131" s="47"/>
      <c r="R131" s="37">
        <f>IF(E131="Kataforez",N(Q131),IF(E131="Yaş boya",Parametreler!$B$10/MAX(1,ROUND(IF(ISNUMBER(Q131),Q131,Parametreler!$B$11),0)),0))</f>
        <v>0</v>
      </c>
      <c r="S131" s="36">
        <f>L131+P131+R131</f>
        <v>11.875937481745002</v>
      </c>
      <c r="T131" s="39">
        <f>IF(S131=0,0,L131/S131)</f>
        <v>0.38309712296300313</v>
      </c>
      <c r="U131" s="39">
        <f>IF(S131=0,0,P131/S131)</f>
        <v>0.61690287703699698</v>
      </c>
      <c r="V131" s="39">
        <f>IF(S131=0,0,R131/S131)</f>
        <v>0</v>
      </c>
      <c r="W131" s="40">
        <f>SUM(AE131:AG131)/100*F131</f>
        <v>3.6631499999999999</v>
      </c>
      <c r="X131" s="37">
        <f>IF($G131=0,0,J131/$G131)</f>
        <v>0.29764074079103098</v>
      </c>
      <c r="Y131" s="37">
        <f>IF($G131=0,0,S131/$G131)</f>
        <v>2.2664002827757637</v>
      </c>
      <c r="Z131" s="41">
        <f>IF($G131=0,0,L131/$G131)</f>
        <v>0.86825142781393183</v>
      </c>
      <c r="AA131" s="36">
        <f>S131*Parametreler!$B$12</f>
        <v>16.982590598895353</v>
      </c>
      <c r="AB131" s="42">
        <f>AA131*F131</f>
        <v>169.82590598895354</v>
      </c>
      <c r="AC131" s="43" t="s">
        <v>328</v>
      </c>
      <c r="AD131" s="30" t="s">
        <v>132</v>
      </c>
      <c r="AE131" s="44">
        <f>INDEX('İşçilik Özet'!$W$6:$W$200,MATCH($A131&amp;"",'İşçilik Özet'!$A$6:$A$200,0))</f>
        <v>6.5549999999999997</v>
      </c>
      <c r="AF131" s="44">
        <f>INDEX('İşçilik Özet'!$X$6:$X$200,MATCH($A131&amp;"",'İşçilik Özet'!$A$6:$A$200,0))</f>
        <v>19.162500000000001</v>
      </c>
      <c r="AG131" s="44">
        <f>INDEX('İşçilik Özet'!$Y$6:$Y$200,MATCH($A131&amp;"",'İşçilik Özet'!$A$6:$A$200,0))</f>
        <v>10.914</v>
      </c>
      <c r="AH131" s="45">
        <f>(L131+P131)*F131+IF(E131="Kataforez",N(Q131)*F131,IF(E131="Yaş boya",ROUNDUP(F131/MAX(1,ROUND(IF(ISNUMBER(Q131),Q131,Parametreler!$B$11),0)),0)*Parametreler!$B$10,0))</f>
        <v>118.75937481745001</v>
      </c>
    </row>
    <row r="132" spans="1:34" ht="15" customHeight="1" x14ac:dyDescent="0.25">
      <c r="A132" s="30">
        <v>1297632</v>
      </c>
      <c r="B132" s="30" t="s">
        <v>240</v>
      </c>
      <c r="C132" s="30" t="s">
        <v>139</v>
      </c>
      <c r="D132" s="30" t="s">
        <v>23</v>
      </c>
      <c r="E132" s="30" t="s">
        <v>124</v>
      </c>
      <c r="F132" s="31">
        <v>16</v>
      </c>
      <c r="G132" s="32">
        <v>2.3940000000000001</v>
      </c>
      <c r="H132" s="33">
        <f>INDEX('Sac Özet'!$L$5:$L$199,MATCH($A132&amp;"",'Sac Özet'!$A$5:$A$199,0))</f>
        <v>3.0342389100126739</v>
      </c>
      <c r="I132" s="33">
        <f>INDEX('Sac Özet'!$M$5:$M$199,MATCH($A132&amp;"",'Sac Özet'!$A$5:$A$199,0))</f>
        <v>0.64022441001267394</v>
      </c>
      <c r="J132" s="34">
        <f>INDEX('Sac Özet'!$N$5:$N$199,MATCH($A132&amp;"",'Sac Özet'!$A$5:$A$199,0))</f>
        <v>2.2178631392787187</v>
      </c>
      <c r="K132" s="35">
        <f>SUMPRODUCT((--'Satınalma Parçaları'!$A$2:$A$107=--$A132)*'Satınalma Parçaları'!$L$2:$L$107)</f>
        <v>0</v>
      </c>
      <c r="L132" s="36">
        <f>J132+N(K132)</f>
        <v>2.2178631392787187</v>
      </c>
      <c r="M132" s="37">
        <f>AE132/100*Parametreler!$B$7</f>
        <v>2.3919999999999995</v>
      </c>
      <c r="N132" s="37">
        <f>AF132/100*Parametreler!$B$8</f>
        <v>1.8325</v>
      </c>
      <c r="O132" s="37">
        <f>AG132/100*Parametreler!$B$9</f>
        <v>0.96</v>
      </c>
      <c r="P132" s="36">
        <f>SUM(M132:O132)</f>
        <v>5.184499999999999</v>
      </c>
      <c r="Q132" s="47"/>
      <c r="R132" s="37">
        <f>IF(E132="Kataforez",N(Q132),IF(E132="Yaş boya",Parametreler!$B$10/MAX(1,ROUND(IF(ISNUMBER(Q132),Q132,Parametreler!$B$11),0)),0))</f>
        <v>0</v>
      </c>
      <c r="S132" s="36">
        <f>L132+P132+R132</f>
        <v>7.4023631392787177</v>
      </c>
      <c r="T132" s="39">
        <f>IF(S132=0,0,L132/S132)</f>
        <v>0.29961555486385205</v>
      </c>
      <c r="U132" s="39">
        <f>IF(S132=0,0,P132/S132)</f>
        <v>0.70038444513614795</v>
      </c>
      <c r="V132" s="39">
        <f>IF(S132=0,0,R132/S132)</f>
        <v>0</v>
      </c>
      <c r="W132" s="40">
        <f>SUM(AE132:AG132)/100*F132</f>
        <v>4.1475999999999997</v>
      </c>
      <c r="X132" s="37">
        <f>IF($G132=0,0,J132/$G132)</f>
        <v>0.92642570563020821</v>
      </c>
      <c r="Y132" s="37">
        <f>IF($G132=0,0,S132/$G132)</f>
        <v>3.0920480949368074</v>
      </c>
      <c r="Z132" s="41">
        <f>IF($G132=0,0,L132/$G132)</f>
        <v>0.92642570563020821</v>
      </c>
      <c r="AA132" s="36">
        <f>S132*Parametreler!$B$12</f>
        <v>10.585379289168566</v>
      </c>
      <c r="AB132" s="42">
        <f>AA132*F132</f>
        <v>169.36606862669706</v>
      </c>
      <c r="AC132" s="43"/>
      <c r="AD132" s="30" t="s">
        <v>91</v>
      </c>
      <c r="AE132" s="44">
        <f>INDEX('İşçilik Özet'!$W$6:$W$200,MATCH($A132&amp;"",'İşçilik Özet'!$A$6:$A$200,0))</f>
        <v>11.959999999999999</v>
      </c>
      <c r="AF132" s="44">
        <f>INDEX('İşçilik Özet'!$X$6:$X$200,MATCH($A132&amp;"",'İşçilik Özet'!$A$6:$A$200,0))</f>
        <v>9.1624999999999996</v>
      </c>
      <c r="AG132" s="44">
        <f>INDEX('İşçilik Özet'!$Y$6:$Y$200,MATCH($A132&amp;"",'İşçilik Özet'!$A$6:$A$200,0))</f>
        <v>4.8</v>
      </c>
      <c r="AH132" s="45">
        <f>(L132+P132)*F132+IF(E132="Kataforez",N(Q132)*F132,IF(E132="Yaş boya",ROUNDUP(F132/MAX(1,ROUND(IF(ISNUMBER(Q132),Q132,Parametreler!$B$11),0)),0)*Parametreler!$B$10,0))</f>
        <v>118.43781022845948</v>
      </c>
    </row>
    <row r="133" spans="1:34" ht="15" customHeight="1" x14ac:dyDescent="0.25">
      <c r="A133" s="30">
        <v>1181234</v>
      </c>
      <c r="B133" s="30" t="s">
        <v>323</v>
      </c>
      <c r="C133" s="30" t="s">
        <v>139</v>
      </c>
      <c r="D133" s="30" t="s">
        <v>23</v>
      </c>
      <c r="E133" s="30" t="s">
        <v>124</v>
      </c>
      <c r="F133" s="31">
        <v>10</v>
      </c>
      <c r="G133" s="32">
        <v>3.7210000000000001</v>
      </c>
      <c r="H133" s="33">
        <f>INDEX('Sac Özet'!$L$5:$L$199,MATCH($A133&amp;"",'Sac Özet'!$A$5:$A$199,0))</f>
        <v>4.6784672132059724</v>
      </c>
      <c r="I133" s="33">
        <f>INDEX('Sac Özet'!$M$5:$M$199,MATCH($A133&amp;"",'Sac Özet'!$A$5:$A$199,0))</f>
        <v>0.95752011320597208</v>
      </c>
      <c r="J133" s="34">
        <f>INDEX('Sac Özet'!$N$5:$N$199,MATCH($A133&amp;"",'Sac Özet'!$A$5:$A$199,0))</f>
        <v>3.4294035516973684</v>
      </c>
      <c r="K133" s="35">
        <f>SUMPRODUCT((--'Satınalma Parçaları'!$A$2:$A$107=--$A133)*'Satınalma Parçaları'!$L$2:$L$107)</f>
        <v>0</v>
      </c>
      <c r="L133" s="36">
        <f>J133+N(K133)</f>
        <v>3.4294035516973684</v>
      </c>
      <c r="M133" s="37">
        <f>AE133/100*Parametreler!$B$7</f>
        <v>1.081</v>
      </c>
      <c r="N133" s="37">
        <f>AF133/100*Parametreler!$B$8</f>
        <v>4.0824999999999996</v>
      </c>
      <c r="O133" s="37">
        <f>AG133/100*Parametreler!$B$9</f>
        <v>2.6079999999999997</v>
      </c>
      <c r="P133" s="36">
        <f>SUM(M133:O133)</f>
        <v>7.7714999999999987</v>
      </c>
      <c r="Q133" s="47"/>
      <c r="R133" s="37">
        <f>IF(E133="Kataforez",N(Q133),IF(E133="Yaş boya",Parametreler!$B$10/MAX(1,ROUND(IF(ISNUMBER(Q133),Q133,Parametreler!$B$11),0)),0))</f>
        <v>0</v>
      </c>
      <c r="S133" s="36">
        <f>L133+P133+R133</f>
        <v>11.200903551697367</v>
      </c>
      <c r="T133" s="39">
        <f>IF(S133=0,0,L133/S133)</f>
        <v>0.30617204548446292</v>
      </c>
      <c r="U133" s="39">
        <f>IF(S133=0,0,P133/S133)</f>
        <v>0.69382795451553714</v>
      </c>
      <c r="V133" s="39">
        <f>IF(S133=0,0,R133/S133)</f>
        <v>0</v>
      </c>
      <c r="W133" s="40">
        <f>SUM(AE133:AG133)/100*F133</f>
        <v>3.8857499999999994</v>
      </c>
      <c r="X133" s="37">
        <f>IF($G133=0,0,J133/$G133)</f>
        <v>0.92163492386384527</v>
      </c>
      <c r="Y133" s="37">
        <f>IF($G133=0,0,S133/$G133)</f>
        <v>3.0101863885238824</v>
      </c>
      <c r="Z133" s="41">
        <f>IF($G133=0,0,L133/$G133)</f>
        <v>0.92163492386384527</v>
      </c>
      <c r="AA133" s="36">
        <f>S133*Parametreler!$B$12</f>
        <v>16.017292078927234</v>
      </c>
      <c r="AB133" s="42">
        <f>AA133*F133</f>
        <v>160.17292078927233</v>
      </c>
      <c r="AC133" s="43"/>
      <c r="AD133" s="30" t="s">
        <v>91</v>
      </c>
      <c r="AE133" s="44">
        <f>INDEX('İşçilik Özet'!$W$6:$W$200,MATCH($A133&amp;"",'İşçilik Özet'!$A$6:$A$200,0))</f>
        <v>5.4049999999999994</v>
      </c>
      <c r="AF133" s="44">
        <f>INDEX('İşçilik Özet'!$X$6:$X$200,MATCH($A133&amp;"",'İşçilik Özet'!$A$6:$A$200,0))</f>
        <v>20.412499999999998</v>
      </c>
      <c r="AG133" s="44">
        <f>INDEX('İşçilik Özet'!$Y$6:$Y$200,MATCH($A133&amp;"",'İşçilik Özet'!$A$6:$A$200,0))</f>
        <v>13.04</v>
      </c>
      <c r="AH133" s="45">
        <f>(L133+P133)*F133+IF(E133="Kataforez",N(Q133)*F133,IF(E133="Yaş boya",ROUNDUP(F133/MAX(1,ROUND(IF(ISNUMBER(Q133),Q133,Parametreler!$B$11),0)),0)*Parametreler!$B$10,0))</f>
        <v>112.00903551697367</v>
      </c>
    </row>
    <row r="134" spans="1:34" ht="15" customHeight="1" x14ac:dyDescent="0.25">
      <c r="A134" s="30">
        <v>1204097</v>
      </c>
      <c r="B134" s="30" t="s">
        <v>337</v>
      </c>
      <c r="C134" s="30" t="s">
        <v>139</v>
      </c>
      <c r="D134" s="30" t="s">
        <v>23</v>
      </c>
      <c r="E134" s="30" t="s">
        <v>124</v>
      </c>
      <c r="F134" s="31">
        <v>10</v>
      </c>
      <c r="G134" s="32">
        <v>6.3920000000000003</v>
      </c>
      <c r="H134" s="33">
        <f>INDEX('Sac Özet'!$L$5:$L$199,MATCH($A134&amp;"",'Sac Özet'!$A$5:$A$199,0))</f>
        <v>6.4066204999999998</v>
      </c>
      <c r="I134" s="33">
        <f>INDEX('Sac Özet'!$M$5:$M$199,MATCH($A134&amp;"",'Sac Özet'!$A$5:$A$199,0))</f>
        <v>3.9053750000000928E-2</v>
      </c>
      <c r="J134" s="34">
        <f>INDEX('Sac Özet'!$N$5:$N$199,MATCH($A134&amp;"",'Sac Özet'!$A$5:$A$199,0))</f>
        <v>5.1125151727272735</v>
      </c>
      <c r="K134" s="35">
        <f>SUMPRODUCT((--'Satınalma Parçaları'!$A$2:$A$107=--$A134)*'Satınalma Parçaları'!$L$2:$L$107)</f>
        <v>9.2363636363636398E-2</v>
      </c>
      <c r="L134" s="36">
        <f>J134+N(K134)</f>
        <v>5.2048788090909097</v>
      </c>
      <c r="M134" s="37">
        <f>AE134/100*Parametreler!$B$7</f>
        <v>2.8347499999999997</v>
      </c>
      <c r="N134" s="37">
        <f>AF134/100*Parametreler!$B$8</f>
        <v>3.0824999999999996</v>
      </c>
      <c r="O134" s="37">
        <f>AG134/100*Parametreler!$B$9</f>
        <v>0</v>
      </c>
      <c r="P134" s="36">
        <f>SUM(M134:O134)</f>
        <v>5.9172499999999992</v>
      </c>
      <c r="Q134" s="47"/>
      <c r="R134" s="37">
        <f>IF(E134="Kataforez",N(Q134),IF(E134="Yaş boya",Parametreler!$B$10/MAX(1,ROUND(IF(ISNUMBER(Q134),Q134,Parametreler!$B$11),0)),0))</f>
        <v>0</v>
      </c>
      <c r="S134" s="36">
        <f>L134+P134+R134</f>
        <v>11.12212880909091</v>
      </c>
      <c r="T134" s="39">
        <f>IF(S134=0,0,L134/S134)</f>
        <v>0.46797505211741397</v>
      </c>
      <c r="U134" s="39">
        <f>IF(S134=0,0,P134/S134)</f>
        <v>0.53202494788258592</v>
      </c>
      <c r="V134" s="39">
        <f>IF(S134=0,0,R134/S134)</f>
        <v>0</v>
      </c>
      <c r="W134" s="40">
        <f>SUM(AE134:AG134)/100*F134</f>
        <v>2.9586249999999996</v>
      </c>
      <c r="X134" s="37">
        <f>IF($G134=0,0,J134/$G134)</f>
        <v>0.7998302835931278</v>
      </c>
      <c r="Y134" s="37">
        <f>IF($G134=0,0,S134/$G134)</f>
        <v>1.7400076359654113</v>
      </c>
      <c r="Z134" s="41">
        <f>IF($G134=0,0,L134/$G134)</f>
        <v>0.81428016412561166</v>
      </c>
      <c r="AA134" s="36">
        <f>S134*Parametreler!$B$12</f>
        <v>15.904644197</v>
      </c>
      <c r="AB134" s="42">
        <f>AA134*F134</f>
        <v>159.04644196999999</v>
      </c>
      <c r="AC134" s="43" t="s">
        <v>338</v>
      </c>
      <c r="AD134" s="30" t="s">
        <v>96</v>
      </c>
      <c r="AE134" s="44">
        <f>INDEX('İşçilik Özet'!$W$6:$W$200,MATCH($A134&amp;"",'İşçilik Özet'!$A$6:$A$200,0))</f>
        <v>14.17375</v>
      </c>
      <c r="AF134" s="44">
        <f>INDEX('İşçilik Özet'!$X$6:$X$200,MATCH($A134&amp;"",'İşçilik Özet'!$A$6:$A$200,0))</f>
        <v>15.4125</v>
      </c>
      <c r="AG134" s="44">
        <f>INDEX('İşçilik Özet'!$Y$6:$Y$200,MATCH($A134&amp;"",'İşçilik Özet'!$A$6:$A$200,0))</f>
        <v>0</v>
      </c>
      <c r="AH134" s="45">
        <f>(L134+P134)*F134+IF(E134="Kataforez",N(Q134)*F134,IF(E134="Yaş boya",ROUNDUP(F134/MAX(1,ROUND(IF(ISNUMBER(Q134),Q134,Parametreler!$B$11),0)),0)*Parametreler!$B$10,0))</f>
        <v>111.2212880909091</v>
      </c>
    </row>
    <row r="135" spans="1:34" ht="15" customHeight="1" x14ac:dyDescent="0.25">
      <c r="A135" s="30">
        <v>108523</v>
      </c>
      <c r="B135" s="30" t="s">
        <v>347</v>
      </c>
      <c r="C135" s="30" t="s">
        <v>130</v>
      </c>
      <c r="D135" s="30" t="s">
        <v>85</v>
      </c>
      <c r="E135" s="30" t="s">
        <v>124</v>
      </c>
      <c r="F135" s="31">
        <v>5</v>
      </c>
      <c r="G135" s="32">
        <v>9.5190000000000001</v>
      </c>
      <c r="H135" s="33">
        <f>INDEX('Sac Özet'!$L$5:$L$199,MATCH($A135&amp;"",'Sac Özet'!$A$5:$A$199,0))</f>
        <v>25.620277674</v>
      </c>
      <c r="I135" s="33">
        <f>INDEX('Sac Özet'!$M$5:$M$199,MATCH($A135&amp;"",'Sac Özet'!$A$5:$A$199,0))</f>
        <v>16.095809874</v>
      </c>
      <c r="J135" s="34">
        <f>INDEX('Sac Özet'!$N$5:$N$199,MATCH($A135&amp;"",'Sac Özet'!$A$5:$A$199,0))</f>
        <v>15.228502544072729</v>
      </c>
      <c r="K135" s="35">
        <f>SUMPRODUCT((--'Satınalma Parçaları'!$A$2:$A$107=--$A135)*'Satınalma Parçaları'!$L$2:$L$107)</f>
        <v>0</v>
      </c>
      <c r="L135" s="36">
        <f>J135+N(K135)</f>
        <v>15.228502544072729</v>
      </c>
      <c r="M135" s="37">
        <f>AE135/100*Parametreler!$B$7</f>
        <v>2.1447500000000002</v>
      </c>
      <c r="N135" s="37">
        <f>AF135/100*Parametreler!$B$8</f>
        <v>3.0824999999999996</v>
      </c>
      <c r="O135" s="37">
        <f>AG135/100*Parametreler!$B$9</f>
        <v>2.6324000000000005</v>
      </c>
      <c r="P135" s="36">
        <f>SUM(M135:O135)</f>
        <v>7.8596500000000002</v>
      </c>
      <c r="Q135" s="47"/>
      <c r="R135" s="37">
        <f>IF(E135="Kataforez",N(Q135),IF(E135="Yaş boya",Parametreler!$B$10/MAX(1,ROUND(IF(ISNUMBER(Q135),Q135,Parametreler!$B$11),0)),0))</f>
        <v>0</v>
      </c>
      <c r="S135" s="36">
        <f>L135+P135+R135</f>
        <v>23.088152544072727</v>
      </c>
      <c r="T135" s="39">
        <f>IF(S135=0,0,L135/S135)</f>
        <v>0.65958081812753111</v>
      </c>
      <c r="U135" s="39">
        <f>IF(S135=0,0,P135/S135)</f>
        <v>0.34041918187246895</v>
      </c>
      <c r="V135" s="39">
        <f>IF(S135=0,0,R135/S135)</f>
        <v>0</v>
      </c>
      <c r="W135" s="40">
        <f>SUM(AE135:AG135)/100*F135</f>
        <v>1.9649125000000001</v>
      </c>
      <c r="X135" s="37">
        <f>IF($G135=0,0,J135/$G135)</f>
        <v>1.5998006664642008</v>
      </c>
      <c r="Y135" s="37">
        <f>IF($G135=0,0,S135/$G135)</f>
        <v>2.4254808849745486</v>
      </c>
      <c r="Z135" s="41">
        <f>IF($G135=0,0,L135/$G135)</f>
        <v>1.5998006664642008</v>
      </c>
      <c r="AA135" s="36">
        <f>S135*Parametreler!$B$12</f>
        <v>33.016058138024</v>
      </c>
      <c r="AB135" s="42">
        <f>AA135*F135</f>
        <v>165.08029069011999</v>
      </c>
      <c r="AC135" s="43"/>
      <c r="AD135" s="30"/>
      <c r="AE135" s="44">
        <f>INDEX('İşçilik Özet'!$W$6:$W$200,MATCH($A135&amp;"",'İşçilik Özet'!$A$6:$A$200,0))</f>
        <v>10.723750000000001</v>
      </c>
      <c r="AF135" s="44">
        <f>INDEX('İşçilik Özet'!$X$6:$X$200,MATCH($A135&amp;"",'İşçilik Özet'!$A$6:$A$200,0))</f>
        <v>15.4125</v>
      </c>
      <c r="AG135" s="44">
        <f>INDEX('İşçilik Özet'!$Y$6:$Y$200,MATCH($A135&amp;"",'İşçilik Özet'!$A$6:$A$200,0))</f>
        <v>13.162000000000001</v>
      </c>
      <c r="AH135" s="45">
        <f>(L135+P135)*F135+IF(E135="Kataforez",N(Q135)*F135,IF(E135="Yaş boya",ROUNDUP(F135/MAX(1,ROUND(IF(ISNUMBER(Q135),Q135,Parametreler!$B$11),0)),0)*Parametreler!$B$10,0))</f>
        <v>115.44076272036364</v>
      </c>
    </row>
    <row r="136" spans="1:34" ht="15" customHeight="1" x14ac:dyDescent="0.25">
      <c r="A136" s="30">
        <v>235228</v>
      </c>
      <c r="B136" s="30" t="s">
        <v>276</v>
      </c>
      <c r="C136" s="30" t="s">
        <v>107</v>
      </c>
      <c r="D136" s="30" t="s">
        <v>23</v>
      </c>
      <c r="E136" s="30" t="s">
        <v>86</v>
      </c>
      <c r="F136" s="31">
        <v>5</v>
      </c>
      <c r="G136" s="32">
        <v>6.4240000000000004</v>
      </c>
      <c r="H136" s="33">
        <f>INDEX('Sac Özet'!$L$5:$L$199,MATCH($A136&amp;"",'Sac Özet'!$A$5:$A$199,0))</f>
        <v>0.74027414634146327</v>
      </c>
      <c r="I136" s="33">
        <f>INDEX('Sac Özet'!$M$5:$M$199,MATCH($A136&amp;"",'Sac Özet'!$A$5:$A$199,0))</f>
        <v>0.13324934634146332</v>
      </c>
      <c r="J136" s="34">
        <f>INDEX('Sac Özet'!$N$5:$N$199,MATCH($A136&amp;"",'Sac Özet'!$A$5:$A$199,0))</f>
        <v>0.54861044008869175</v>
      </c>
      <c r="K136" s="35">
        <f>SUMPRODUCT((--'Satınalma Parçaları'!$A$2:$A$107=--$A136)*'Satınalma Parçaları'!$L$2:$L$107)</f>
        <v>5.83</v>
      </c>
      <c r="L136" s="36">
        <f>J136+N(K136)</f>
        <v>6.3786104400886918</v>
      </c>
      <c r="M136" s="37">
        <f>AE136/100*Parametreler!$B$7</f>
        <v>1.081</v>
      </c>
      <c r="N136" s="37">
        <f>AF136/100*Parametreler!$B$8</f>
        <v>2.3325</v>
      </c>
      <c r="O136" s="37">
        <f>AG136/100*Parametreler!$B$9</f>
        <v>0.69399999999999995</v>
      </c>
      <c r="P136" s="36">
        <f>SUM(M136:O136)</f>
        <v>4.1074999999999999</v>
      </c>
      <c r="Q136" s="38">
        <f>VLOOKUP($A136,'Yaş Boya Listesi'!$B$6:$L$131,11,FALSE())</f>
        <v>8</v>
      </c>
      <c r="R136" s="37">
        <f>IF(E136="Kataforez",N(Q136),IF(E136="Yaş boya",Parametreler!$B$10/MAX(1,ROUND(IF(ISNUMBER(Q136),Q136,Parametreler!$B$11),0)),0))</f>
        <v>10</v>
      </c>
      <c r="S136" s="36">
        <f>L136+P136+R136</f>
        <v>20.486110440088691</v>
      </c>
      <c r="T136" s="39">
        <f>IF(S136=0,0,L136/S136)</f>
        <v>0.31136268930809674</v>
      </c>
      <c r="U136" s="39">
        <f>IF(S136=0,0,P136/S136)</f>
        <v>0.20050170148268601</v>
      </c>
      <c r="V136" s="39">
        <f>IF(S136=0,0,R136/S136)</f>
        <v>0.48813560920921728</v>
      </c>
      <c r="W136" s="40">
        <f>SUM(AE136:AG136)/100*F136</f>
        <v>1.026875</v>
      </c>
      <c r="X136" s="37">
        <f>IF($G136=0,0,J136/$G136)</f>
        <v>8.5400130773457622E-2</v>
      </c>
      <c r="Y136" s="37">
        <f>IF($G136=0,0,S136/$G136)</f>
        <v>3.1889960211844164</v>
      </c>
      <c r="Z136" s="41">
        <f>IF($G136=0,0,L136/$G136)</f>
        <v>0.99293437734880008</v>
      </c>
      <c r="AA136" s="36">
        <f>S136*Parametreler!$B$12</f>
        <v>29.295137929326827</v>
      </c>
      <c r="AB136" s="42">
        <f>AA136*F136</f>
        <v>146.47568964663412</v>
      </c>
      <c r="AC136" s="43" t="s">
        <v>277</v>
      </c>
      <c r="AD136" s="30" t="s">
        <v>132</v>
      </c>
      <c r="AE136" s="44">
        <f>INDEX('İşçilik Özet'!$W$6:$W$200,MATCH($A136&amp;"",'İşçilik Özet'!$A$6:$A$200,0))</f>
        <v>5.4049999999999994</v>
      </c>
      <c r="AF136" s="44">
        <f>INDEX('İşçilik Özet'!$X$6:$X$200,MATCH($A136&amp;"",'İşçilik Özet'!$A$6:$A$200,0))</f>
        <v>11.6625</v>
      </c>
      <c r="AG136" s="44">
        <f>INDEX('İşçilik Özet'!$Y$6:$Y$200,MATCH($A136&amp;"",'İşçilik Özet'!$A$6:$A$200,0))</f>
        <v>3.4699999999999998</v>
      </c>
      <c r="AH136" s="45">
        <f>(L136+P136)*F136+IF(E136="Kataforez",N(Q136)*F136,IF(E136="Yaş boya",ROUNDUP(F136/MAX(1,ROUND(IF(ISNUMBER(Q136),Q136,Parametreler!$B$11),0)),0)*Parametreler!$B$10,0))</f>
        <v>132.43055220044346</v>
      </c>
    </row>
    <row r="137" spans="1:34" ht="15" customHeight="1" x14ac:dyDescent="0.25">
      <c r="A137" s="30">
        <v>379865</v>
      </c>
      <c r="B137" s="30" t="s">
        <v>284</v>
      </c>
      <c r="C137" s="30" t="s">
        <v>113</v>
      </c>
      <c r="D137" s="30" t="s">
        <v>23</v>
      </c>
      <c r="E137" s="30" t="s">
        <v>86</v>
      </c>
      <c r="F137" s="31">
        <v>5</v>
      </c>
      <c r="G137" s="32">
        <v>4.5389999999999997</v>
      </c>
      <c r="H137" s="33">
        <f>INDEX('Sac Özet'!$L$5:$L$199,MATCH($A137&amp;"",'Sac Özet'!$A$5:$A$199,0))</f>
        <v>0.92436621951219511</v>
      </c>
      <c r="I137" s="33">
        <f>INDEX('Sac Özet'!$M$5:$M$199,MATCH($A137&amp;"",'Sac Özet'!$A$5:$A$199,0))</f>
        <v>0.16638591951219509</v>
      </c>
      <c r="J137" s="34">
        <f>INDEX('Sac Özet'!$N$5:$N$199,MATCH($A137&amp;"",'Sac Özet'!$A$5:$A$199,0))</f>
        <v>0.6850394019512196</v>
      </c>
      <c r="K137" s="35">
        <f>SUMPRODUCT((--'Satınalma Parçaları'!$A$2:$A$107=--$A137)*'Satınalma Parçaları'!$L$2:$L$107)</f>
        <v>2.52</v>
      </c>
      <c r="L137" s="36">
        <f>J137+N(K137)</f>
        <v>3.2050394019512196</v>
      </c>
      <c r="M137" s="37">
        <f>AE137/100*Parametreler!$B$7</f>
        <v>0</v>
      </c>
      <c r="N137" s="37">
        <f>AF137/100*Parametreler!$B$8</f>
        <v>2.3325</v>
      </c>
      <c r="O137" s="37">
        <f>AG137/100*Parametreler!$B$9</f>
        <v>1.1879999999999999</v>
      </c>
      <c r="P137" s="36">
        <f>SUM(M137:O137)</f>
        <v>3.5205000000000002</v>
      </c>
      <c r="Q137" s="38">
        <f>VLOOKUP($A137,'Yaş Boya Listesi'!$B$6:$L$131,11,FALSE())</f>
        <v>6</v>
      </c>
      <c r="R137" s="37">
        <f>IF(E137="Kataforez",N(Q137),IF(E137="Yaş boya",Parametreler!$B$10/MAX(1,ROUND(IF(ISNUMBER(Q137),Q137,Parametreler!$B$11),0)),0))</f>
        <v>13.333333333333334</v>
      </c>
      <c r="S137" s="36">
        <f>L137+P137+R137</f>
        <v>20.058872735284552</v>
      </c>
      <c r="T137" s="39">
        <f>IF(S137=0,0,L137/S137)</f>
        <v>0.15978163101425916</v>
      </c>
      <c r="U137" s="39">
        <f>IF(S137=0,0,P137/S137)</f>
        <v>0.17550836711812154</v>
      </c>
      <c r="V137" s="39">
        <f>IF(S137=0,0,R137/S137)</f>
        <v>0.66471000186761942</v>
      </c>
      <c r="W137" s="40">
        <f>SUM(AE137:AG137)/100*F137</f>
        <v>0.88012499999999994</v>
      </c>
      <c r="X137" s="37">
        <f>IF($G137=0,0,J137/$G137)</f>
        <v>0.15092297905953286</v>
      </c>
      <c r="Y137" s="37">
        <f>IF($G137=0,0,S137/$G137)</f>
        <v>4.4192273045350419</v>
      </c>
      <c r="Z137" s="41">
        <f>IF($G137=0,0,L137/$G137)</f>
        <v>0.7061113465413571</v>
      </c>
      <c r="AA137" s="36">
        <f>S137*Parametreler!$B$12</f>
        <v>28.684188011456907</v>
      </c>
      <c r="AB137" s="42">
        <f>AA137*F137</f>
        <v>143.42094005728453</v>
      </c>
      <c r="AC137" s="43" t="s">
        <v>285</v>
      </c>
      <c r="AD137" s="30" t="s">
        <v>96</v>
      </c>
      <c r="AE137" s="44">
        <f>INDEX('İşçilik Özet'!$W$6:$W$200,MATCH($A137&amp;"",'İşçilik Özet'!$A$6:$A$200,0))</f>
        <v>0</v>
      </c>
      <c r="AF137" s="44">
        <f>INDEX('İşçilik Özet'!$X$6:$X$200,MATCH($A137&amp;"",'İşçilik Özet'!$A$6:$A$200,0))</f>
        <v>11.6625</v>
      </c>
      <c r="AG137" s="44">
        <f>INDEX('İşçilik Özet'!$Y$6:$Y$200,MATCH($A137&amp;"",'İşçilik Özet'!$A$6:$A$200,0))</f>
        <v>5.9399999999999995</v>
      </c>
      <c r="AH137" s="45">
        <f>(L137+P137)*F137+IF(E137="Kataforez",N(Q137)*F137,IF(E137="Yaş boya",ROUNDUP(F137/MAX(1,ROUND(IF(ISNUMBER(Q137),Q137,Parametreler!$B$11),0)),0)*Parametreler!$B$10,0))</f>
        <v>113.6276970097561</v>
      </c>
    </row>
    <row r="138" spans="1:34" ht="15" customHeight="1" x14ac:dyDescent="0.25">
      <c r="A138" s="30">
        <v>1098449</v>
      </c>
      <c r="B138" s="30" t="s">
        <v>348</v>
      </c>
      <c r="C138" s="30" t="s">
        <v>130</v>
      </c>
      <c r="D138" s="30" t="s">
        <v>85</v>
      </c>
      <c r="E138" s="30" t="s">
        <v>124</v>
      </c>
      <c r="F138" s="31">
        <v>10</v>
      </c>
      <c r="G138" s="32">
        <v>8.2889999999999997</v>
      </c>
      <c r="H138" s="33">
        <f>INDEX('Sac Özet'!$L$5:$L$199,MATCH($A138&amp;"",'Sac Özet'!$A$5:$A$199,0))</f>
        <v>9.4104387000000003</v>
      </c>
      <c r="I138" s="33">
        <f>INDEX('Sac Özet'!$M$5:$M$199,MATCH($A138&amp;"",'Sac Özet'!$A$5:$A$199,0))</f>
        <v>1.1299447</v>
      </c>
      <c r="J138" s="34">
        <f>INDEX('Sac Özet'!$N$5:$N$199,MATCH($A138&amp;"",'Sac Özet'!$A$5:$A$199,0))</f>
        <v>7.1585508763636367</v>
      </c>
      <c r="K138" s="35">
        <f>SUMPRODUCT((--'Satınalma Parçaları'!$A$2:$A$107=--$A138)*'Satınalma Parçaları'!$L$2:$L$107)</f>
        <v>0</v>
      </c>
      <c r="L138" s="36">
        <f>J138+N(K138)</f>
        <v>7.1585508763636367</v>
      </c>
      <c r="M138" s="37">
        <f>AE138/100*Parametreler!$B$7</f>
        <v>0</v>
      </c>
      <c r="N138" s="37">
        <f>AF138/100*Parametreler!$B$8</f>
        <v>2.5824999999999996</v>
      </c>
      <c r="O138" s="37">
        <f>AG138/100*Parametreler!$B$9</f>
        <v>1.167</v>
      </c>
      <c r="P138" s="36">
        <f>SUM(M138:O138)</f>
        <v>3.7494999999999994</v>
      </c>
      <c r="Q138" s="47"/>
      <c r="R138" s="37">
        <f>IF(E138="Kataforez",N(Q138),IF(E138="Yaş boya",Parametreler!$B$10/MAX(1,ROUND(IF(ISNUMBER(Q138),Q138,Parametreler!$B$11),0)),0))</f>
        <v>0</v>
      </c>
      <c r="S138" s="36">
        <f>L138+P138+R138</f>
        <v>10.908050876363635</v>
      </c>
      <c r="T138" s="39">
        <f>IF(S138=0,0,L138/S138)</f>
        <v>0.6562630627141014</v>
      </c>
      <c r="U138" s="39">
        <f>IF(S138=0,0,P138/S138)</f>
        <v>0.34373693728589871</v>
      </c>
      <c r="V138" s="39">
        <f>IF(S138=0,0,R138/S138)</f>
        <v>0</v>
      </c>
      <c r="W138" s="40">
        <f>SUM(AE138:AG138)/100*F138</f>
        <v>1.8747499999999997</v>
      </c>
      <c r="X138" s="37">
        <f>IF($G138=0,0,J138/$G138)</f>
        <v>0.86362056657783048</v>
      </c>
      <c r="Y138" s="37">
        <f>IF($G138=0,0,S138/$G138)</f>
        <v>1.3159670498689391</v>
      </c>
      <c r="Z138" s="41">
        <f>IF($G138=0,0,L138/$G138)</f>
        <v>0.86362056657783048</v>
      </c>
      <c r="AA138" s="36">
        <f>S138*Parametreler!$B$12</f>
        <v>15.598512753199998</v>
      </c>
      <c r="AB138" s="42">
        <f>AA138*F138</f>
        <v>155.98512753199998</v>
      </c>
      <c r="AC138" s="43"/>
      <c r="AD138" s="30"/>
      <c r="AE138" s="44">
        <f>INDEX('İşçilik Özet'!$W$6:$W$200,MATCH($A138&amp;"",'İşçilik Özet'!$A$6:$A$200,0))</f>
        <v>0</v>
      </c>
      <c r="AF138" s="44">
        <f>INDEX('İşçilik Özet'!$X$6:$X$200,MATCH($A138&amp;"",'İşçilik Özet'!$A$6:$A$200,0))</f>
        <v>12.9125</v>
      </c>
      <c r="AG138" s="44">
        <f>INDEX('İşçilik Özet'!$Y$6:$Y$200,MATCH($A138&amp;"",'İşçilik Özet'!$A$6:$A$200,0))</f>
        <v>5.835</v>
      </c>
      <c r="AH138" s="45">
        <f>(L138+P138)*F138+IF(E138="Kataforez",N(Q138)*F138,IF(E138="Yaş boya",ROUNDUP(F138/MAX(1,ROUND(IF(ISNUMBER(Q138),Q138,Parametreler!$B$11),0)),0)*Parametreler!$B$10,0))</f>
        <v>109.08050876363635</v>
      </c>
    </row>
    <row r="139" spans="1:34" ht="15" customHeight="1" x14ac:dyDescent="0.25">
      <c r="A139" s="30">
        <v>115469</v>
      </c>
      <c r="B139" s="30" t="s">
        <v>256</v>
      </c>
      <c r="C139" s="30" t="s">
        <v>119</v>
      </c>
      <c r="D139" s="30" t="s">
        <v>23</v>
      </c>
      <c r="E139" s="30" t="s">
        <v>86</v>
      </c>
      <c r="F139" s="31">
        <v>5</v>
      </c>
      <c r="G139" s="32">
        <v>5.8570000000000002</v>
      </c>
      <c r="H139" s="33">
        <f>INDEX('Sac Özet'!$L$5:$L$199,MATCH($A139&amp;"",'Sac Özet'!$A$5:$A$199,0))</f>
        <v>6.3914317073170723</v>
      </c>
      <c r="I139" s="33">
        <f>INDEX('Sac Özet'!$M$5:$M$199,MATCH($A139&amp;"",'Sac Özet'!$A$5:$A$199,0))</f>
        <v>1.1504577073170725</v>
      </c>
      <c r="J139" s="34">
        <f>INDEX('Sac Özet'!$N$5:$N$199,MATCH($A139&amp;"",'Sac Özet'!$A$5:$A$199,0))</f>
        <v>4.736631934368071</v>
      </c>
      <c r="K139" s="35">
        <f>SUMPRODUCT((--'Satınalma Parçaları'!$A$2:$A$107=--$A139)*'Satınalma Parçaları'!$L$2:$L$107)</f>
        <v>7.1272727272727196E-2</v>
      </c>
      <c r="L139" s="36">
        <f>J139+N(K139)</f>
        <v>4.8079046616407979</v>
      </c>
      <c r="M139" s="37">
        <f>AE139/100*Parametreler!$B$7</f>
        <v>0</v>
      </c>
      <c r="N139" s="37">
        <f>AF139/100*Parametreler!$B$8</f>
        <v>4.3324999999999996</v>
      </c>
      <c r="O139" s="37">
        <f>AG139/100*Parametreler!$B$9</f>
        <v>2.9556</v>
      </c>
      <c r="P139" s="36">
        <f>SUM(M139:O139)</f>
        <v>7.2881</v>
      </c>
      <c r="Q139" s="38">
        <f>VLOOKUP($A139,'Yaş Boya Listesi'!$B$6:$L$131,11,FALSE())</f>
        <v>10</v>
      </c>
      <c r="R139" s="37">
        <f>IF(E139="Kataforez",N(Q139),IF(E139="Yaş boya",Parametreler!$B$10/MAX(1,ROUND(IF(ISNUMBER(Q139),Q139,Parametreler!$B$11),0)),0))</f>
        <v>8</v>
      </c>
      <c r="S139" s="36">
        <f>L139+P139+R139</f>
        <v>20.096004661640798</v>
      </c>
      <c r="T139" s="39">
        <f>IF(S139=0,0,L139/S139)</f>
        <v>0.23924679271288754</v>
      </c>
      <c r="U139" s="39">
        <f>IF(S139=0,0,P139/S139)</f>
        <v>0.36266412765675293</v>
      </c>
      <c r="V139" s="39">
        <f>IF(S139=0,0,R139/S139)</f>
        <v>0.39808907963035955</v>
      </c>
      <c r="W139" s="40">
        <f>SUM(AE139:AG139)/100*F139</f>
        <v>1.822025</v>
      </c>
      <c r="X139" s="37">
        <f>IF($G139=0,0,J139/$G139)</f>
        <v>0.80871298179410467</v>
      </c>
      <c r="Y139" s="37">
        <f>IF($G139=0,0,S139/$G139)</f>
        <v>3.4311088717160314</v>
      </c>
      <c r="Z139" s="41">
        <f>IF($G139=0,0,L139/$G139)</f>
        <v>0.82088179300679487</v>
      </c>
      <c r="AA139" s="36">
        <f>S139*Parametreler!$B$12</f>
        <v>28.737286666146339</v>
      </c>
      <c r="AB139" s="42">
        <f>AA139*F139</f>
        <v>143.68643333073169</v>
      </c>
      <c r="AC139" s="43" t="s">
        <v>257</v>
      </c>
      <c r="AD139" s="30" t="s">
        <v>132</v>
      </c>
      <c r="AE139" s="44">
        <f>INDEX('İşçilik Özet'!$W$6:$W$200,MATCH($A139&amp;"",'İşçilik Özet'!$A$6:$A$200,0))</f>
        <v>0</v>
      </c>
      <c r="AF139" s="44">
        <f>INDEX('İşçilik Özet'!$X$6:$X$200,MATCH($A139&amp;"",'İşçilik Özet'!$A$6:$A$200,0))</f>
        <v>21.662499999999998</v>
      </c>
      <c r="AG139" s="44">
        <f>INDEX('İşçilik Özet'!$Y$6:$Y$200,MATCH($A139&amp;"",'İşçilik Özet'!$A$6:$A$200,0))</f>
        <v>14.778</v>
      </c>
      <c r="AH139" s="45">
        <f>(L139+P139)*F139+IF(E139="Kataforez",N(Q139)*F139,IF(E139="Yaş boya",ROUNDUP(F139/MAX(1,ROUND(IF(ISNUMBER(Q139),Q139,Parametreler!$B$11),0)),0)*Parametreler!$B$10,0))</f>
        <v>140.48002330820398</v>
      </c>
    </row>
    <row r="140" spans="1:34" ht="15" customHeight="1" x14ac:dyDescent="0.25">
      <c r="A140" s="30">
        <v>108754</v>
      </c>
      <c r="B140" s="30" t="s">
        <v>262</v>
      </c>
      <c r="C140" s="30" t="s">
        <v>156</v>
      </c>
      <c r="D140" s="30" t="s">
        <v>23</v>
      </c>
      <c r="E140" s="30" t="s">
        <v>86</v>
      </c>
      <c r="F140" s="31">
        <v>5</v>
      </c>
      <c r="G140" s="32">
        <v>6.0919999999999996</v>
      </c>
      <c r="H140" s="33">
        <f>INDEX('Sac Özet'!$L$5:$L$199,MATCH($A140&amp;"",'Sac Özet'!$A$5:$A$199,0))</f>
        <v>6.4292648780487802</v>
      </c>
      <c r="I140" s="33">
        <f>INDEX('Sac Özet'!$M$5:$M$199,MATCH($A140&amp;"",'Sac Özet'!$A$5:$A$199,0))</f>
        <v>1.1572676780487798</v>
      </c>
      <c r="J140" s="34">
        <f>INDEX('Sac Özet'!$N$5:$N$199,MATCH($A140&amp;"",'Sac Özet'!$A$5:$A$199,0))</f>
        <v>4.7646697532594242</v>
      </c>
      <c r="K140" s="35">
        <f>SUMPRODUCT((--'Satınalma Parçaları'!$A$2:$A$107=--$A140)*'Satınalma Parçaları'!$L$2:$L$107)</f>
        <v>1.92</v>
      </c>
      <c r="L140" s="36">
        <f>J140+N(K140)</f>
        <v>6.6846697532594241</v>
      </c>
      <c r="M140" s="37">
        <f>AE140/100*Parametreler!$B$7</f>
        <v>0</v>
      </c>
      <c r="N140" s="37">
        <f>AF140/100*Parametreler!$B$8</f>
        <v>2.8325</v>
      </c>
      <c r="O140" s="37">
        <f>AG140/100*Parametreler!$B$9</f>
        <v>2.56</v>
      </c>
      <c r="P140" s="36">
        <f>SUM(M140:O140)</f>
        <v>5.3925000000000001</v>
      </c>
      <c r="Q140" s="38">
        <f>VLOOKUP($A140,'Yaş Boya Listesi'!$B$6:$L$131,11,FALSE())</f>
        <v>10</v>
      </c>
      <c r="R140" s="37">
        <f>IF(E140="Kataforez",N(Q140),IF(E140="Yaş boya",Parametreler!$B$10/MAX(1,ROUND(IF(ISNUMBER(Q140),Q140,Parametreler!$B$11),0)),0))</f>
        <v>8</v>
      </c>
      <c r="S140" s="36">
        <f>L140+P140+R140</f>
        <v>20.077169753259426</v>
      </c>
      <c r="T140" s="39">
        <f>IF(S140=0,0,L140/S140)</f>
        <v>0.33294880879184685</v>
      </c>
      <c r="U140" s="39">
        <f>IF(S140=0,0,P140/S140)</f>
        <v>0.2685886539921572</v>
      </c>
      <c r="V140" s="39">
        <f>IF(S140=0,0,R140/S140)</f>
        <v>0.39846253721599584</v>
      </c>
      <c r="W140" s="40">
        <f>SUM(AE140:AG140)/100*F140</f>
        <v>1.348125</v>
      </c>
      <c r="X140" s="37">
        <f>IF($G140=0,0,J140/$G140)</f>
        <v>0.78211913218309659</v>
      </c>
      <c r="Y140" s="37">
        <f>IF($G140=0,0,S140/$G140)</f>
        <v>3.295661482806866</v>
      </c>
      <c r="Z140" s="41">
        <f>IF($G140=0,0,L140/$G140)</f>
        <v>1.0972865648817178</v>
      </c>
      <c r="AA140" s="36">
        <f>S140*Parametreler!$B$12</f>
        <v>28.710352747160979</v>
      </c>
      <c r="AB140" s="42">
        <f>AA140*F140</f>
        <v>143.55176373580488</v>
      </c>
      <c r="AC140" s="43" t="s">
        <v>263</v>
      </c>
      <c r="AD140" s="30" t="s">
        <v>96</v>
      </c>
      <c r="AE140" s="44">
        <f>INDEX('İşçilik Özet'!$W$6:$W$200,MATCH($A140&amp;"",'İşçilik Özet'!$A$6:$A$200,0))</f>
        <v>0</v>
      </c>
      <c r="AF140" s="44">
        <f>INDEX('İşçilik Özet'!$X$6:$X$200,MATCH($A140&amp;"",'İşçilik Özet'!$A$6:$A$200,0))</f>
        <v>14.1625</v>
      </c>
      <c r="AG140" s="44">
        <f>INDEX('İşçilik Özet'!$Y$6:$Y$200,MATCH($A140&amp;"",'İşçilik Özet'!$A$6:$A$200,0))</f>
        <v>12.8</v>
      </c>
      <c r="AH140" s="45">
        <f>(L140+P140)*F140+IF(E140="Kataforez",N(Q140)*F140,IF(E140="Yaş boya",ROUNDUP(F140/MAX(1,ROUND(IF(ISNUMBER(Q140),Q140,Parametreler!$B$11),0)),0)*Parametreler!$B$10,0))</f>
        <v>140.38584876629713</v>
      </c>
    </row>
    <row r="141" spans="1:34" ht="15" customHeight="1" x14ac:dyDescent="0.25">
      <c r="A141" s="30">
        <v>1216269</v>
      </c>
      <c r="B141" s="30" t="s">
        <v>330</v>
      </c>
      <c r="C141" s="30" t="s">
        <v>139</v>
      </c>
      <c r="D141" s="30" t="s">
        <v>23</v>
      </c>
      <c r="E141" s="30" t="s">
        <v>124</v>
      </c>
      <c r="F141" s="31">
        <v>16</v>
      </c>
      <c r="G141" s="32">
        <v>1.575</v>
      </c>
      <c r="H141" s="33">
        <f>INDEX('Sac Özet'!$L$5:$L$199,MATCH($A141&amp;"",'Sac Özet'!$A$5:$A$199,0))</f>
        <v>1.9762950118241676</v>
      </c>
      <c r="I141" s="33">
        <f>INDEX('Sac Özet'!$M$5:$M$199,MATCH($A141&amp;"",'Sac Özet'!$A$5:$A$199,0))</f>
        <v>0.40127101182416741</v>
      </c>
      <c r="J141" s="34">
        <f>INDEX('Sac Özet'!$N$5:$N$199,MATCH($A141&amp;"",'Sac Özet'!$A$5:$A$199,0))</f>
        <v>1.4497109510441522</v>
      </c>
      <c r="K141" s="35">
        <f>SUMPRODUCT((--'Satınalma Parçaları'!$A$2:$A$107=--$A141)*'Satınalma Parçaları'!$L$2:$L$107)</f>
        <v>0</v>
      </c>
      <c r="L141" s="36">
        <f>J141+N(K141)</f>
        <v>1.4497109510441522</v>
      </c>
      <c r="M141" s="37">
        <f>AE141/100*Parametreler!$B$7</f>
        <v>1.3109999999999999</v>
      </c>
      <c r="N141" s="37">
        <f>AF141/100*Parametreler!$B$8</f>
        <v>2.3325</v>
      </c>
      <c r="O141" s="37">
        <f>AG141/100*Parametreler!$B$9</f>
        <v>0.81</v>
      </c>
      <c r="P141" s="36">
        <f>SUM(M141:O141)</f>
        <v>4.4535</v>
      </c>
      <c r="Q141" s="47"/>
      <c r="R141" s="37">
        <f>IF(E141="Kataforez",N(Q141),IF(E141="Yaş boya",Parametreler!$B$10/MAX(1,ROUND(IF(ISNUMBER(Q141),Q141,Parametreler!$B$11),0)),0))</f>
        <v>0</v>
      </c>
      <c r="S141" s="36">
        <f>L141+P141+R141</f>
        <v>5.9032109510441524</v>
      </c>
      <c r="T141" s="39">
        <f>IF(S141=0,0,L141/S141)</f>
        <v>0.24558006872306148</v>
      </c>
      <c r="U141" s="39">
        <f>IF(S141=0,0,P141/S141)</f>
        <v>0.75441993127693852</v>
      </c>
      <c r="V141" s="39">
        <f>IF(S141=0,0,R141/S141)</f>
        <v>0</v>
      </c>
      <c r="W141" s="40">
        <f>SUM(AE141:AG141)/100*F141</f>
        <v>3.5628000000000002</v>
      </c>
      <c r="X141" s="37">
        <f>IF($G141=0,0,J141/$G141)</f>
        <v>0.92045139748835059</v>
      </c>
      <c r="Y141" s="37">
        <f>IF($G141=0,0,S141/$G141)</f>
        <v>3.7480704451073983</v>
      </c>
      <c r="Z141" s="41">
        <f>IF($G141=0,0,L141/$G141)</f>
        <v>0.92045139748835059</v>
      </c>
      <c r="AA141" s="36">
        <f>S141*Parametreler!$B$12</f>
        <v>8.4415916599931382</v>
      </c>
      <c r="AB141" s="42">
        <f>AA141*F141</f>
        <v>135.06546655989021</v>
      </c>
      <c r="AC141" s="43"/>
      <c r="AD141" s="30" t="s">
        <v>91</v>
      </c>
      <c r="AE141" s="44">
        <f>INDEX('İşçilik Özet'!$W$6:$W$200,MATCH($A141&amp;"",'İşçilik Özet'!$A$6:$A$200,0))</f>
        <v>6.5549999999999997</v>
      </c>
      <c r="AF141" s="44">
        <f>INDEX('İşçilik Özet'!$X$6:$X$200,MATCH($A141&amp;"",'İşçilik Özet'!$A$6:$A$200,0))</f>
        <v>11.6625</v>
      </c>
      <c r="AG141" s="44">
        <f>INDEX('İşçilik Özet'!$Y$6:$Y$200,MATCH($A141&amp;"",'İşçilik Özet'!$A$6:$A$200,0))</f>
        <v>4.05</v>
      </c>
      <c r="AH141" s="45">
        <f>(L141+P141)*F141+IF(E141="Kataforez",N(Q141)*F141,IF(E141="Yaş boya",ROUNDUP(F141/MAX(1,ROUND(IF(ISNUMBER(Q141),Q141,Parametreler!$B$11),0)),0)*Parametreler!$B$10,0))</f>
        <v>94.451375216706438</v>
      </c>
    </row>
    <row r="142" spans="1:34" ht="15" customHeight="1" x14ac:dyDescent="0.25">
      <c r="A142" s="30">
        <v>430862</v>
      </c>
      <c r="B142" s="30" t="s">
        <v>324</v>
      </c>
      <c r="C142" s="30" t="s">
        <v>99</v>
      </c>
      <c r="D142" s="30" t="s">
        <v>23</v>
      </c>
      <c r="E142" s="30" t="s">
        <v>124</v>
      </c>
      <c r="F142" s="31">
        <v>16</v>
      </c>
      <c r="G142" s="32">
        <v>0.63200000000000001</v>
      </c>
      <c r="H142" s="33">
        <f>INDEX('Sac Özet'!$L$5:$L$199,MATCH($A142&amp;"",'Sac Özet'!$A$5:$A$199,0))</f>
        <v>0.71382026028625301</v>
      </c>
      <c r="I142" s="33">
        <f>INDEX('Sac Özet'!$M$5:$M$199,MATCH($A142&amp;"",'Sac Özet'!$A$5:$A$199,0))</f>
        <v>0.13383086028625299</v>
      </c>
      <c r="J142" s="34">
        <f>INDEX('Sac Özet'!$N$5:$N$199,MATCH($A142&amp;"",'Sac Özet'!$A$5:$A$199,0))</f>
        <v>0.5272570175898651</v>
      </c>
      <c r="K142" s="35">
        <f>SUMPRODUCT((--'Satınalma Parçaları'!$A$2:$A$107=--$A142)*'Satınalma Parçaları'!$L$2:$L$107)</f>
        <v>0</v>
      </c>
      <c r="L142" s="36">
        <f>J142+N(K142)</f>
        <v>0.5272570175898651</v>
      </c>
      <c r="M142" s="37">
        <f>AE142/100*Parametreler!$B$7</f>
        <v>1.3109999999999999</v>
      </c>
      <c r="N142" s="37">
        <f>AF142/100*Parametreler!$B$8</f>
        <v>2.5824999999999996</v>
      </c>
      <c r="O142" s="37">
        <f>AG142/100*Parametreler!$B$9</f>
        <v>0.81</v>
      </c>
      <c r="P142" s="36">
        <f>SUM(M142:O142)</f>
        <v>4.7035</v>
      </c>
      <c r="Q142" s="47"/>
      <c r="R142" s="37">
        <f>IF(E142="Kataforez",N(Q142),IF(E142="Yaş boya",Parametreler!$B$10/MAX(1,ROUND(IF(ISNUMBER(Q142),Q142,Parametreler!$B$11),0)),0))</f>
        <v>0</v>
      </c>
      <c r="S142" s="36">
        <f>L142+P142+R142</f>
        <v>5.2307570175898652</v>
      </c>
      <c r="T142" s="39">
        <f>IF(S142=0,0,L142/S142)</f>
        <v>0.10079937106939163</v>
      </c>
      <c r="U142" s="39">
        <f>IF(S142=0,0,P142/S142)</f>
        <v>0.89920062893060837</v>
      </c>
      <c r="V142" s="39">
        <f>IF(S142=0,0,R142/S142)</f>
        <v>0</v>
      </c>
      <c r="W142" s="40">
        <f>SUM(AE142:AG142)/100*F142</f>
        <v>3.7628000000000004</v>
      </c>
      <c r="X142" s="37">
        <f>IF($G142=0,0,J142/$G142)</f>
        <v>0.83426743289535621</v>
      </c>
      <c r="Y142" s="37">
        <f>IF($G142=0,0,S142/$G142)</f>
        <v>8.2765142683383939</v>
      </c>
      <c r="Z142" s="41">
        <f>IF($G142=0,0,L142/$G142)</f>
        <v>0.83426743289535621</v>
      </c>
      <c r="AA142" s="36">
        <f>S142*Parametreler!$B$12</f>
        <v>7.479982535153507</v>
      </c>
      <c r="AB142" s="42">
        <f>AA142*F142</f>
        <v>119.67972056245611</v>
      </c>
      <c r="AC142" s="43" t="s">
        <v>325</v>
      </c>
      <c r="AD142" s="30" t="s">
        <v>96</v>
      </c>
      <c r="AE142" s="44">
        <f>INDEX('İşçilik Özet'!$W$6:$W$200,MATCH($A142&amp;"",'İşçilik Özet'!$A$6:$A$200,0))</f>
        <v>6.5549999999999997</v>
      </c>
      <c r="AF142" s="44">
        <f>INDEX('İşçilik Özet'!$X$6:$X$200,MATCH($A142&amp;"",'İşçilik Özet'!$A$6:$A$200,0))</f>
        <v>12.9125</v>
      </c>
      <c r="AG142" s="44">
        <f>INDEX('İşçilik Özet'!$Y$6:$Y$200,MATCH($A142&amp;"",'İşçilik Özet'!$A$6:$A$200,0))</f>
        <v>4.05</v>
      </c>
      <c r="AH142" s="45">
        <f>(L142+P142)*F142+IF(E142="Kataforez",N(Q142)*F142,IF(E142="Yaş boya",ROUNDUP(F142/MAX(1,ROUND(IF(ISNUMBER(Q142),Q142,Parametreler!$B$11),0)),0)*Parametreler!$B$10,0))</f>
        <v>83.692112281437844</v>
      </c>
    </row>
    <row r="143" spans="1:34" ht="15" customHeight="1" x14ac:dyDescent="0.25">
      <c r="A143" s="30">
        <v>418374</v>
      </c>
      <c r="B143" s="30" t="s">
        <v>333</v>
      </c>
      <c r="C143" s="30" t="s">
        <v>139</v>
      </c>
      <c r="D143" s="30" t="s">
        <v>23</v>
      </c>
      <c r="E143" s="30" t="s">
        <v>124</v>
      </c>
      <c r="F143" s="31">
        <v>26</v>
      </c>
      <c r="G143" s="32">
        <v>2.4119999999999999</v>
      </c>
      <c r="H143" s="33">
        <f>INDEX('Sac Özet'!$L$5:$L$199,MATCH($A143&amp;"",'Sac Özet'!$A$5:$A$199,0))</f>
        <v>1.18692</v>
      </c>
      <c r="I143" s="33">
        <f>INDEX('Sac Özet'!$M$5:$M$199,MATCH($A143&amp;"",'Sac Özet'!$A$5:$A$199,0))</f>
        <v>6.1983600000000111E-2</v>
      </c>
      <c r="J143" s="34">
        <f>INDEX('Sac Özet'!$N$5:$N$199,MATCH($A143&amp;"",'Sac Özet'!$A$5:$A$199,0))</f>
        <v>0.92925045818181817</v>
      </c>
      <c r="K143" s="35">
        <f>SUMPRODUCT((--'Satınalma Parçaları'!$A$2:$A$107=--$A143)*'Satınalma Parçaları'!$L$2:$L$107)</f>
        <v>0</v>
      </c>
      <c r="L143" s="36">
        <f>J143+N(K143)</f>
        <v>0.92925045818181817</v>
      </c>
      <c r="M143" s="37">
        <f>AE143/100*Parametreler!$B$7</f>
        <v>0</v>
      </c>
      <c r="N143" s="37">
        <f>AF143/100*Parametreler!$B$8</f>
        <v>1.5825</v>
      </c>
      <c r="O143" s="37">
        <f>AG143/100*Parametreler!$B$9</f>
        <v>0.76</v>
      </c>
      <c r="P143" s="36">
        <f>SUM(M143:O143)</f>
        <v>2.3425000000000002</v>
      </c>
      <c r="Q143" s="47"/>
      <c r="R143" s="37">
        <f>IF(E143="Kataforez",N(Q143),IF(E143="Yaş boya",Parametreler!$B$10/MAX(1,ROUND(IF(ISNUMBER(Q143),Q143,Parametreler!$B$11),0)),0))</f>
        <v>0</v>
      </c>
      <c r="S143" s="36">
        <f>L143+P143+R143</f>
        <v>3.2717504581818186</v>
      </c>
      <c r="T143" s="39">
        <f>IF(S143=0,0,L143/S143)</f>
        <v>0.28402241248503485</v>
      </c>
      <c r="U143" s="39">
        <f>IF(S143=0,0,P143/S143)</f>
        <v>0.7159775875149651</v>
      </c>
      <c r="V143" s="39">
        <f>IF(S143=0,0,R143/S143)</f>
        <v>0</v>
      </c>
      <c r="W143" s="40">
        <f>SUM(AE143:AG143)/100*F143</f>
        <v>3.0452499999999993</v>
      </c>
      <c r="X143" s="37">
        <f>IF($G143=0,0,J143/$G143)</f>
        <v>0.38526138398914517</v>
      </c>
      <c r="Y143" s="37">
        <f>IF($G143=0,0,S143/$G143)</f>
        <v>1.3564471219659282</v>
      </c>
      <c r="Z143" s="41">
        <f>IF($G143=0,0,L143/$G143)</f>
        <v>0.38526138398914517</v>
      </c>
      <c r="AA143" s="36">
        <f>S143*Parametreler!$B$12</f>
        <v>4.6786031552000003</v>
      </c>
      <c r="AB143" s="42">
        <f>AA143*F143</f>
        <v>121.6436820352</v>
      </c>
      <c r="AC143" s="43" t="s">
        <v>334</v>
      </c>
      <c r="AD143" s="30" t="s">
        <v>96</v>
      </c>
      <c r="AE143" s="44">
        <f>INDEX('İşçilik Özet'!$W$6:$W$200,MATCH($A143&amp;"",'İşçilik Özet'!$A$6:$A$200,0))</f>
        <v>0</v>
      </c>
      <c r="AF143" s="44">
        <f>INDEX('İşçilik Özet'!$X$6:$X$200,MATCH($A143&amp;"",'İşçilik Özet'!$A$6:$A$200,0))</f>
        <v>7.9124999999999996</v>
      </c>
      <c r="AG143" s="44">
        <f>INDEX('İşçilik Özet'!$Y$6:$Y$200,MATCH($A143&amp;"",'İşçilik Özet'!$A$6:$A$200,0))</f>
        <v>3.8</v>
      </c>
      <c r="AH143" s="45">
        <f>(L143+P143)*F143+IF(E143="Kataforez",N(Q143)*F143,IF(E143="Yaş boya",ROUNDUP(F143/MAX(1,ROUND(IF(ISNUMBER(Q143),Q143,Parametreler!$B$11),0)),0)*Parametreler!$B$10,0))</f>
        <v>85.065511912727288</v>
      </c>
    </row>
    <row r="144" spans="1:34" ht="15" customHeight="1" x14ac:dyDescent="0.25">
      <c r="A144" s="30">
        <v>681786</v>
      </c>
      <c r="B144" s="30" t="s">
        <v>258</v>
      </c>
      <c r="C144" s="30" t="s">
        <v>99</v>
      </c>
      <c r="D144" s="30" t="s">
        <v>23</v>
      </c>
      <c r="E144" s="30" t="s">
        <v>86</v>
      </c>
      <c r="F144" s="31">
        <v>5</v>
      </c>
      <c r="G144" s="32">
        <v>2.1320000000000001</v>
      </c>
      <c r="H144" s="33">
        <f>INDEX('Sac Özet'!$L$5:$L$199,MATCH($A144&amp;"",'Sac Özet'!$A$5:$A$199,0))</f>
        <v>2.7021510773130544</v>
      </c>
      <c r="I144" s="33">
        <f>INDEX('Sac Özet'!$M$5:$M$199,MATCH($A144&amp;"",'Sac Özet'!$A$5:$A$199,0))</f>
        <v>0.57015387731305422</v>
      </c>
      <c r="J144" s="34">
        <f>INDEX('Sac Özet'!$N$5:$N$199,MATCH($A144&amp;"",'Sac Özet'!$A$5:$A$199,0))</f>
        <v>1.9751250474570801</v>
      </c>
      <c r="K144" s="35">
        <f>SUMPRODUCT((--'Satınalma Parçaları'!$A$2:$A$107=--$A144)*'Satınalma Parçaları'!$L$2:$L$107)</f>
        <v>0</v>
      </c>
      <c r="L144" s="36">
        <f>J144+N(K144)</f>
        <v>1.9751250474570801</v>
      </c>
      <c r="M144" s="37">
        <f>AE144/100*Parametreler!$B$7</f>
        <v>3.7029999999999994</v>
      </c>
      <c r="N144" s="37">
        <f>AF144/100*Parametreler!$B$8</f>
        <v>2.0825</v>
      </c>
      <c r="O144" s="37">
        <f>AG144/100*Parametreler!$B$9</f>
        <v>0.79199999999999993</v>
      </c>
      <c r="P144" s="36">
        <f>SUM(M144:O144)</f>
        <v>6.5774999999999988</v>
      </c>
      <c r="Q144" s="38">
        <f>VLOOKUP($A144,'Yaş Boya Listesi'!$B$6:$L$131,11,FALSE())</f>
        <v>10</v>
      </c>
      <c r="R144" s="37">
        <f>IF(E144="Kataforez",N(Q144),IF(E144="Yaş boya",Parametreler!$B$10/MAX(1,ROUND(IF(ISNUMBER(Q144),Q144,Parametreler!$B$11),0)),0))</f>
        <v>8</v>
      </c>
      <c r="S144" s="36">
        <f>L144+P144+R144</f>
        <v>16.552625047457077</v>
      </c>
      <c r="T144" s="39">
        <f>IF(S144=0,0,L144/S144)</f>
        <v>0.11932397681904307</v>
      </c>
      <c r="U144" s="39">
        <f>IF(S144=0,0,P144/S144)</f>
        <v>0.39736899622519256</v>
      </c>
      <c r="V144" s="39">
        <f>IF(S144=0,0,R144/S144)</f>
        <v>0.4833070269557645</v>
      </c>
      <c r="W144" s="40">
        <f>SUM(AE144:AG144)/100*F144</f>
        <v>1.6443749999999999</v>
      </c>
      <c r="X144" s="37">
        <f>IF($G144=0,0,J144/$G144)</f>
        <v>0.92641887779412757</v>
      </c>
      <c r="Y144" s="37">
        <f>IF($G144=0,0,S144/$G144)</f>
        <v>7.7638954256365276</v>
      </c>
      <c r="Z144" s="41">
        <f>IF($G144=0,0,L144/$G144)</f>
        <v>0.92641887779412757</v>
      </c>
      <c r="AA144" s="36">
        <f>S144*Parametreler!$B$12</f>
        <v>23.670253817863621</v>
      </c>
      <c r="AB144" s="42">
        <f>AA144*F144</f>
        <v>118.35126908931811</v>
      </c>
      <c r="AC144" s="43"/>
      <c r="AD144" s="30" t="s">
        <v>91</v>
      </c>
      <c r="AE144" s="44">
        <f>INDEX('İşçilik Özet'!$W$6:$W$200,MATCH($A144&amp;"",'İşçilik Özet'!$A$6:$A$200,0))</f>
        <v>18.514999999999997</v>
      </c>
      <c r="AF144" s="44">
        <f>INDEX('İşçilik Özet'!$X$6:$X$200,MATCH($A144&amp;"",'İşçilik Özet'!$A$6:$A$200,0))</f>
        <v>10.4125</v>
      </c>
      <c r="AG144" s="44">
        <f>INDEX('İşçilik Özet'!$Y$6:$Y$200,MATCH($A144&amp;"",'İşçilik Özet'!$A$6:$A$200,0))</f>
        <v>3.96</v>
      </c>
      <c r="AH144" s="45">
        <f>(L144+P144)*F144+IF(E144="Kataforez",N(Q144)*F144,IF(E144="Yaş boya",ROUNDUP(F144/MAX(1,ROUND(IF(ISNUMBER(Q144),Q144,Parametreler!$B$11),0)),0)*Parametreler!$B$10,0))</f>
        <v>122.76312523728539</v>
      </c>
    </row>
    <row r="145" spans="1:34" ht="15" customHeight="1" x14ac:dyDescent="0.25">
      <c r="A145" s="30">
        <v>681801</v>
      </c>
      <c r="B145" s="30" t="s">
        <v>259</v>
      </c>
      <c r="C145" s="30" t="s">
        <v>117</v>
      </c>
      <c r="D145" s="30" t="s">
        <v>23</v>
      </c>
      <c r="E145" s="30" t="s">
        <v>86</v>
      </c>
      <c r="F145" s="31">
        <v>5</v>
      </c>
      <c r="G145" s="32">
        <v>2.1320000000000001</v>
      </c>
      <c r="H145" s="33">
        <f>INDEX('Sac Özet'!$L$5:$L$199,MATCH($A145&amp;"",'Sac Özet'!$A$5:$A$199,0))</f>
        <v>2.7021510773130544</v>
      </c>
      <c r="I145" s="33">
        <f>INDEX('Sac Özet'!$M$5:$M$199,MATCH($A145&amp;"",'Sac Özet'!$A$5:$A$199,0))</f>
        <v>0.57015387731305422</v>
      </c>
      <c r="J145" s="34">
        <f>INDEX('Sac Özet'!$N$5:$N$199,MATCH($A145&amp;"",'Sac Özet'!$A$5:$A$199,0))</f>
        <v>1.9751250474570801</v>
      </c>
      <c r="K145" s="35">
        <f>SUMPRODUCT((--'Satınalma Parçaları'!$A$2:$A$107=--$A145)*'Satınalma Parçaları'!$L$2:$L$107)</f>
        <v>0</v>
      </c>
      <c r="L145" s="36">
        <f>J145+N(K145)</f>
        <v>1.9751250474570801</v>
      </c>
      <c r="M145" s="37">
        <f>AE145/100*Parametreler!$B$7</f>
        <v>3.7029999999999994</v>
      </c>
      <c r="N145" s="37">
        <f>AF145/100*Parametreler!$B$8</f>
        <v>2.0825</v>
      </c>
      <c r="O145" s="37">
        <f>AG145/100*Parametreler!$B$9</f>
        <v>0.79199999999999993</v>
      </c>
      <c r="P145" s="36">
        <f>SUM(M145:O145)</f>
        <v>6.5774999999999988</v>
      </c>
      <c r="Q145" s="38">
        <f>VLOOKUP($A145,'Yaş Boya Listesi'!$B$6:$L$131,11,FALSE())</f>
        <v>10</v>
      </c>
      <c r="R145" s="37">
        <f>IF(E145="Kataforez",N(Q145),IF(E145="Yaş boya",Parametreler!$B$10/MAX(1,ROUND(IF(ISNUMBER(Q145),Q145,Parametreler!$B$11),0)),0))</f>
        <v>8</v>
      </c>
      <c r="S145" s="36">
        <f>L145+P145+R145</f>
        <v>16.552625047457077</v>
      </c>
      <c r="T145" s="39">
        <f>IF(S145=0,0,L145/S145)</f>
        <v>0.11932397681904307</v>
      </c>
      <c r="U145" s="39">
        <f>IF(S145=0,0,P145/S145)</f>
        <v>0.39736899622519256</v>
      </c>
      <c r="V145" s="39">
        <f>IF(S145=0,0,R145/S145)</f>
        <v>0.4833070269557645</v>
      </c>
      <c r="W145" s="40">
        <f>SUM(AE145:AG145)/100*F145</f>
        <v>1.6443749999999999</v>
      </c>
      <c r="X145" s="37">
        <f>IF($G145=0,0,J145/$G145)</f>
        <v>0.92641887779412757</v>
      </c>
      <c r="Y145" s="37">
        <f>IF($G145=0,0,S145/$G145)</f>
        <v>7.7638954256365276</v>
      </c>
      <c r="Z145" s="41">
        <f>IF($G145=0,0,L145/$G145)</f>
        <v>0.92641887779412757</v>
      </c>
      <c r="AA145" s="36">
        <f>S145*Parametreler!$B$12</f>
        <v>23.670253817863621</v>
      </c>
      <c r="AB145" s="42">
        <f>AA145*F145</f>
        <v>118.35126908931811</v>
      </c>
      <c r="AC145" s="43"/>
      <c r="AD145" s="30" t="s">
        <v>91</v>
      </c>
      <c r="AE145" s="44">
        <f>INDEX('İşçilik Özet'!$W$6:$W$200,MATCH($A145&amp;"",'İşçilik Özet'!$A$6:$A$200,0))</f>
        <v>18.514999999999997</v>
      </c>
      <c r="AF145" s="44">
        <f>INDEX('İşçilik Özet'!$X$6:$X$200,MATCH($A145&amp;"",'İşçilik Özet'!$A$6:$A$200,0))</f>
        <v>10.4125</v>
      </c>
      <c r="AG145" s="44">
        <f>INDEX('İşçilik Özet'!$Y$6:$Y$200,MATCH($A145&amp;"",'İşçilik Özet'!$A$6:$A$200,0))</f>
        <v>3.96</v>
      </c>
      <c r="AH145" s="45">
        <f>(L145+P145)*F145+IF(E145="Kataforez",N(Q145)*F145,IF(E145="Yaş boya",ROUNDUP(F145/MAX(1,ROUND(IF(ISNUMBER(Q145),Q145,Parametreler!$B$11),0)),0)*Parametreler!$B$10,0))</f>
        <v>122.76312523728539</v>
      </c>
    </row>
    <row r="146" spans="1:34" ht="15" customHeight="1" x14ac:dyDescent="0.25">
      <c r="A146" s="30">
        <v>667583</v>
      </c>
      <c r="B146" s="30" t="s">
        <v>359</v>
      </c>
      <c r="C146" s="30" t="s">
        <v>107</v>
      </c>
      <c r="D146" s="30" t="s">
        <v>85</v>
      </c>
      <c r="E146" s="30" t="s">
        <v>124</v>
      </c>
      <c r="F146" s="31">
        <v>5</v>
      </c>
      <c r="G146" s="32">
        <v>17.797000000000001</v>
      </c>
      <c r="H146" s="33">
        <f>INDEX('Sac Özet'!$L$5:$L$199,MATCH($A146&amp;"",'Sac Özet'!$A$5:$A$199,0))</f>
        <v>22.478993100000004</v>
      </c>
      <c r="I146" s="33">
        <f>INDEX('Sac Özet'!$M$5:$M$199,MATCH($A146&amp;"",'Sac Özet'!$A$5:$A$199,0))</f>
        <v>8.5835511000000029</v>
      </c>
      <c r="J146" s="34">
        <f>INDEX('Sac Özet'!$N$5:$N$199,MATCH($A146&amp;"",'Sac Özet'!$A$5:$A$199,0))</f>
        <v>15.174032301818183</v>
      </c>
      <c r="K146" s="35">
        <f>SUMPRODUCT((--'Satınalma Parçaları'!$A$2:$A$107=--$A146)*'Satınalma Parçaları'!$L$2:$L$107)</f>
        <v>0</v>
      </c>
      <c r="L146" s="36">
        <f>J146+N(K146)</f>
        <v>15.174032301818183</v>
      </c>
      <c r="M146" s="37">
        <f>AE146/100*Parametreler!$B$7</f>
        <v>0</v>
      </c>
      <c r="N146" s="37">
        <f>AF146/100*Parametreler!$B$8</f>
        <v>3.0824999999999996</v>
      </c>
      <c r="O146" s="37">
        <f>AG146/100*Parametreler!$B$9</f>
        <v>0</v>
      </c>
      <c r="P146" s="36">
        <f>SUM(M146:O146)</f>
        <v>3.0824999999999996</v>
      </c>
      <c r="Q146" s="47"/>
      <c r="R146" s="37">
        <f>IF(E146="Kataforez",N(Q146),IF(E146="Yaş boya",Parametreler!$B$10/MAX(1,ROUND(IF(ISNUMBER(Q146),Q146,Parametreler!$B$11),0)),0))</f>
        <v>0</v>
      </c>
      <c r="S146" s="36">
        <f>L146+P146+R146</f>
        <v>18.256532301818183</v>
      </c>
      <c r="T146" s="39">
        <f>IF(S146=0,0,L146/S146)</f>
        <v>0.83115632536125106</v>
      </c>
      <c r="U146" s="39">
        <f>IF(S146=0,0,P146/S146)</f>
        <v>0.16884367463874894</v>
      </c>
      <c r="V146" s="39">
        <f>IF(S146=0,0,R146/S146)</f>
        <v>0</v>
      </c>
      <c r="W146" s="40">
        <f>SUM(AE146:AG146)/100*F146</f>
        <v>0.77062499999999989</v>
      </c>
      <c r="X146" s="37">
        <f>IF($G146=0,0,J146/$G146)</f>
        <v>0.85261742438715415</v>
      </c>
      <c r="Y146" s="37">
        <f>IF($G146=0,0,S146/$G146)</f>
        <v>1.0258207732661786</v>
      </c>
      <c r="Z146" s="41">
        <f>IF($G146=0,0,L146/$G146)</f>
        <v>0.85261742438715415</v>
      </c>
      <c r="AA146" s="36">
        <f>S146*Parametreler!$B$12</f>
        <v>26.106841191600001</v>
      </c>
      <c r="AB146" s="42">
        <f>AA146*F146</f>
        <v>130.534205958</v>
      </c>
      <c r="AC146" s="43" t="s">
        <v>271</v>
      </c>
      <c r="AD146" s="30" t="s">
        <v>101</v>
      </c>
      <c r="AE146" s="44">
        <f>INDEX('İşçilik Özet'!$W$6:$W$200,MATCH($A146&amp;"",'İşçilik Özet'!$A$6:$A$200,0))</f>
        <v>0</v>
      </c>
      <c r="AF146" s="44">
        <f>INDEX('İşçilik Özet'!$X$6:$X$200,MATCH($A146&amp;"",'İşçilik Özet'!$A$6:$A$200,0))</f>
        <v>15.4125</v>
      </c>
      <c r="AG146" s="44">
        <f>INDEX('İşçilik Özet'!$Y$6:$Y$200,MATCH($A146&amp;"",'İşçilik Özet'!$A$6:$A$200,0))</f>
        <v>0</v>
      </c>
      <c r="AH146" s="45">
        <f>(L146+P146)*F146+IF(E146="Kataforez",N(Q146)*F146,IF(E146="Yaş boya",ROUNDUP(F146/MAX(1,ROUND(IF(ISNUMBER(Q146),Q146,Parametreler!$B$11),0)),0)*Parametreler!$B$10,0))</f>
        <v>91.282661509090914</v>
      </c>
    </row>
    <row r="147" spans="1:34" ht="15" customHeight="1" x14ac:dyDescent="0.25">
      <c r="A147" s="30">
        <v>102421</v>
      </c>
      <c r="B147" s="30" t="s">
        <v>326</v>
      </c>
      <c r="C147" s="30" t="s">
        <v>93</v>
      </c>
      <c r="D147" s="30" t="s">
        <v>23</v>
      </c>
      <c r="E147" s="30" t="s">
        <v>94</v>
      </c>
      <c r="F147" s="31">
        <v>18</v>
      </c>
      <c r="G147" s="32">
        <v>0.157</v>
      </c>
      <c r="H147" s="33">
        <f>INDEX('Sac Özet'!$L$5:$L$199,MATCH($A147&amp;"",'Sac Özet'!$A$5:$A$199,0))</f>
        <v>0.19788399100435872</v>
      </c>
      <c r="I147" s="33">
        <f>INDEX('Sac Özet'!$M$5:$M$199,MATCH($A147&amp;"",'Sac Özet'!$A$5:$A$199,0))</f>
        <v>4.0883991004358709E-2</v>
      </c>
      <c r="J147" s="34">
        <f>INDEX('Sac Özet'!$N$5:$N$199,MATCH($A147&amp;"",'Sac Özet'!$A$5:$A$199,0))</f>
        <v>0.14492697756569684</v>
      </c>
      <c r="K147" s="35">
        <f>SUMPRODUCT((--'Satınalma Parçaları'!$A$2:$A$107=--$A147)*'Satınalma Parçaları'!$L$2:$L$107)</f>
        <v>0</v>
      </c>
      <c r="L147" s="36">
        <f>J147+N(K147)</f>
        <v>0.14492697756569684</v>
      </c>
      <c r="M147" s="37">
        <f>AE147/100*Parametreler!$B$7</f>
        <v>1.7709999999999999</v>
      </c>
      <c r="N147" s="37">
        <f>AF147/100*Parametreler!$B$8</f>
        <v>1.8325</v>
      </c>
      <c r="O147" s="37">
        <f>AG147/100*Parametreler!$B$9</f>
        <v>0.51200000000000001</v>
      </c>
      <c r="P147" s="36">
        <f>SUM(M147:O147)</f>
        <v>4.1154999999999999</v>
      </c>
      <c r="Q147" s="38">
        <f>IFERROR(INDEX('Kataforez Teklifleri'!$G$6:$G$50,MATCH($A147&amp;"",'Kataforez Teklifleri'!$A$6:$A$50,0)),"")</f>
        <v>0.2</v>
      </c>
      <c r="R147" s="37">
        <f>IF(E147="Kataforez",N(Q147),IF(E147="Yaş boya",Parametreler!$B$10/MAX(1,ROUND(IF(ISNUMBER(Q147),Q147,Parametreler!$B$11),0)),0))</f>
        <v>0.2</v>
      </c>
      <c r="S147" s="36">
        <f>L147+P147+R147</f>
        <v>4.4604269775656968</v>
      </c>
      <c r="T147" s="39">
        <f>IF(S147=0,0,L147/S147)</f>
        <v>3.2491727427581732E-2</v>
      </c>
      <c r="U147" s="39">
        <f>IF(S147=0,0,P147/S147)</f>
        <v>0.92266951587806445</v>
      </c>
      <c r="V147" s="39">
        <f>IF(S147=0,0,R147/S147)</f>
        <v>4.4838756694353762E-2</v>
      </c>
      <c r="W147" s="40">
        <f>SUM(AE147:AG147)/100*F147</f>
        <v>3.7039499999999994</v>
      </c>
      <c r="X147" s="37">
        <f>IF($G147=0,0,J147/$G147)</f>
        <v>0.92310176793437471</v>
      </c>
      <c r="Y147" s="37">
        <f>IF($G147=0,0,S147/$G147)</f>
        <v>28.41036291443119</v>
      </c>
      <c r="Z147" s="41">
        <f>IF($G147=0,0,L147/$G147)</f>
        <v>0.92310176793437471</v>
      </c>
      <c r="AA147" s="36">
        <f>S147*Parametreler!$B$12</f>
        <v>6.3784105779189462</v>
      </c>
      <c r="AB147" s="42">
        <f>AA147*F147</f>
        <v>114.81139040254104</v>
      </c>
      <c r="AC147" s="43"/>
      <c r="AD147" s="30" t="s">
        <v>91</v>
      </c>
      <c r="AE147" s="44">
        <f>INDEX('İşçilik Özet'!$W$6:$W$200,MATCH($A147&amp;"",'İşçilik Özet'!$A$6:$A$200,0))</f>
        <v>8.8549999999999986</v>
      </c>
      <c r="AF147" s="44">
        <f>INDEX('İşçilik Özet'!$X$6:$X$200,MATCH($A147&amp;"",'İşçilik Özet'!$A$6:$A$200,0))</f>
        <v>9.1624999999999996</v>
      </c>
      <c r="AG147" s="44">
        <f>INDEX('İşçilik Özet'!$Y$6:$Y$200,MATCH($A147&amp;"",'İşçilik Özet'!$A$6:$A$200,0))</f>
        <v>2.56</v>
      </c>
      <c r="AH147" s="45">
        <f>(L147+P147)*F147+IF(E147="Kataforez",N(Q147)*F147,IF(E147="Yaş boya",ROUNDUP(F147/MAX(1,ROUND(IF(ISNUMBER(Q147),Q147,Parametreler!$B$11),0)),0)*Parametreler!$B$10,0))</f>
        <v>80.287685596182541</v>
      </c>
    </row>
    <row r="148" spans="1:34" ht="15" customHeight="1" x14ac:dyDescent="0.25">
      <c r="A148" s="30">
        <v>385718</v>
      </c>
      <c r="B148" s="30" t="s">
        <v>268</v>
      </c>
      <c r="C148" s="30" t="s">
        <v>117</v>
      </c>
      <c r="D148" s="30" t="s">
        <v>23</v>
      </c>
      <c r="E148" s="30" t="s">
        <v>86</v>
      </c>
      <c r="F148" s="31">
        <v>5</v>
      </c>
      <c r="G148" s="32">
        <v>3.28</v>
      </c>
      <c r="H148" s="33">
        <f>INDEX('Sac Özet'!$L$5:$L$199,MATCH($A148&amp;"",'Sac Özet'!$A$5:$A$199,0))</f>
        <v>4.0000536585365847</v>
      </c>
      <c r="I148" s="33">
        <f>INDEX('Sac Özet'!$M$5:$M$199,MATCH($A148&amp;"",'Sac Özet'!$A$5:$A$199,0))</f>
        <v>0.72000965853658483</v>
      </c>
      <c r="J148" s="34">
        <f>INDEX('Sac Özet'!$N$5:$N$199,MATCH($A148&amp;"",'Sac Özet'!$A$5:$A$199,0))</f>
        <v>2.9644034022172949</v>
      </c>
      <c r="K148" s="35">
        <f>SUMPRODUCT((--'Satınalma Parçaları'!$A$2:$A$107=--$A148)*'Satınalma Parçaları'!$L$2:$L$107)</f>
        <v>0</v>
      </c>
      <c r="L148" s="36">
        <f>J148+N(K148)</f>
        <v>2.9644034022172949</v>
      </c>
      <c r="M148" s="37">
        <f>AE148/100*Parametreler!$B$7</f>
        <v>0</v>
      </c>
      <c r="N148" s="37">
        <f>AF148/100*Parametreler!$B$8</f>
        <v>2.0825</v>
      </c>
      <c r="O148" s="37">
        <f>AG148/100*Parametreler!$B$9</f>
        <v>2.92</v>
      </c>
      <c r="P148" s="36">
        <f>SUM(M148:O148)</f>
        <v>5.0024999999999995</v>
      </c>
      <c r="Q148" s="38">
        <f>VLOOKUP($A148,'Yaş Boya Listesi'!$B$6:$L$131,11,FALSE())</f>
        <v>10</v>
      </c>
      <c r="R148" s="37">
        <f>IF(E148="Kataforez",N(Q148),IF(E148="Yaş boya",Parametreler!$B$10/MAX(1,ROUND(IF(ISNUMBER(Q148),Q148,Parametreler!$B$11),0)),0))</f>
        <v>8</v>
      </c>
      <c r="S148" s="36">
        <f>L148+P148+R148</f>
        <v>15.966903402217294</v>
      </c>
      <c r="T148" s="39">
        <f>IF(S148=0,0,L148/S148)</f>
        <v>0.18565925574558392</v>
      </c>
      <c r="U148" s="39">
        <f>IF(S148=0,0,P148/S148)</f>
        <v>0.31330433171564825</v>
      </c>
      <c r="V148" s="39">
        <f>IF(S148=0,0,R148/S148)</f>
        <v>0.50103641253876785</v>
      </c>
      <c r="W148" s="40">
        <f>SUM(AE148:AG148)/100*F148</f>
        <v>1.2506249999999999</v>
      </c>
      <c r="X148" s="37">
        <f>IF($G148=0,0,J148/$G148)</f>
        <v>0.90378152506624854</v>
      </c>
      <c r="Y148" s="37">
        <f>IF($G148=0,0,S148/$G148)</f>
        <v>4.867958354334541</v>
      </c>
      <c r="Z148" s="41">
        <f>IF($G148=0,0,L148/$G148)</f>
        <v>0.90378152506624854</v>
      </c>
      <c r="AA148" s="36">
        <f>S148*Parametreler!$B$12</f>
        <v>22.832671865170731</v>
      </c>
      <c r="AB148" s="42">
        <f>AA148*F148</f>
        <v>114.16335932585366</v>
      </c>
      <c r="AC148" s="43"/>
      <c r="AD148" s="30" t="s">
        <v>91</v>
      </c>
      <c r="AE148" s="44">
        <f>INDEX('İşçilik Özet'!$W$6:$W$200,MATCH($A148&amp;"",'İşçilik Özet'!$A$6:$A$200,0))</f>
        <v>0</v>
      </c>
      <c r="AF148" s="44">
        <f>INDEX('İşçilik Özet'!$X$6:$X$200,MATCH($A148&amp;"",'İşçilik Özet'!$A$6:$A$200,0))</f>
        <v>10.4125</v>
      </c>
      <c r="AG148" s="44">
        <f>INDEX('İşçilik Özet'!$Y$6:$Y$200,MATCH($A148&amp;"",'İşçilik Özet'!$A$6:$A$200,0))</f>
        <v>14.6</v>
      </c>
      <c r="AH148" s="45">
        <f>(L148+P148)*F148+IF(E148="Kataforez",N(Q148)*F148,IF(E148="Yaş boya",ROUNDUP(F148/MAX(1,ROUND(IF(ISNUMBER(Q148),Q148,Parametreler!$B$11),0)),0)*Parametreler!$B$10,0))</f>
        <v>119.83451701108648</v>
      </c>
    </row>
    <row r="149" spans="1:34" ht="15" customHeight="1" x14ac:dyDescent="0.25">
      <c r="A149" s="30">
        <v>393979</v>
      </c>
      <c r="B149" s="30" t="s">
        <v>339</v>
      </c>
      <c r="C149" s="30" t="s">
        <v>340</v>
      </c>
      <c r="D149" s="30" t="s">
        <v>23</v>
      </c>
      <c r="E149" s="30" t="s">
        <v>124</v>
      </c>
      <c r="F149" s="31">
        <v>9</v>
      </c>
      <c r="G149" s="32">
        <v>2.2879999999999998</v>
      </c>
      <c r="H149" s="33">
        <f>INDEX('Sac Özet'!$L$5:$L$199,MATCH($A149&amp;"",'Sac Özet'!$A$5:$A$199,0))</f>
        <v>2.8357335001081947</v>
      </c>
      <c r="I149" s="33">
        <f>INDEX('Sac Özet'!$M$5:$M$199,MATCH($A149&amp;"",'Sac Özet'!$A$5:$A$199,0))</f>
        <v>0.54775680010819472</v>
      </c>
      <c r="J149" s="34">
        <f>INDEX('Sac Özet'!$N$5:$N$199,MATCH($A149&amp;"",'Sac Özet'!$A$5:$A$199,0))</f>
        <v>2.0893209382329649</v>
      </c>
      <c r="K149" s="35">
        <f>SUMPRODUCT((--'Satınalma Parçaları'!$A$2:$A$107=--$A149)*'Satınalma Parçaları'!$L$2:$L$107)</f>
        <v>0</v>
      </c>
      <c r="L149" s="36">
        <f>J149+N(K149)</f>
        <v>2.0893209382329649</v>
      </c>
      <c r="M149" s="37">
        <f>AE149/100*Parametreler!$B$7</f>
        <v>1.3109999999999999</v>
      </c>
      <c r="N149" s="37">
        <f>AF149/100*Parametreler!$B$8</f>
        <v>2.8325</v>
      </c>
      <c r="O149" s="37">
        <f>AG149/100*Parametreler!$B$9</f>
        <v>2.2399999999999998</v>
      </c>
      <c r="P149" s="36">
        <f>SUM(M149:O149)</f>
        <v>6.3834999999999997</v>
      </c>
      <c r="Q149" s="47"/>
      <c r="R149" s="37">
        <f>IF(E149="Kataforez",N(Q149),IF(E149="Yaş boya",Parametreler!$B$10/MAX(1,ROUND(IF(ISNUMBER(Q149),Q149,Parametreler!$B$11),0)),0))</f>
        <v>0</v>
      </c>
      <c r="S149" s="36">
        <f>L149+P149+R149</f>
        <v>8.4728209382329638</v>
      </c>
      <c r="T149" s="39">
        <f>IF(S149=0,0,L149/S149)</f>
        <v>0.24659094691887826</v>
      </c>
      <c r="U149" s="39">
        <f>IF(S149=0,0,P149/S149)</f>
        <v>0.75340905308112183</v>
      </c>
      <c r="V149" s="39">
        <f>IF(S149=0,0,R149/S149)</f>
        <v>0</v>
      </c>
      <c r="W149" s="40">
        <f>SUM(AE149:AG149)/100*F149</f>
        <v>2.8725749999999999</v>
      </c>
      <c r="X149" s="37">
        <f>IF($G149=0,0,J149/$G149)</f>
        <v>0.913164745731191</v>
      </c>
      <c r="Y149" s="37">
        <f>IF($G149=0,0,S149/$G149)</f>
        <v>3.7031560044724494</v>
      </c>
      <c r="Z149" s="41">
        <f>IF($G149=0,0,L149/$G149)</f>
        <v>0.913164745731191</v>
      </c>
      <c r="AA149" s="36">
        <f>S149*Parametreler!$B$12</f>
        <v>12.116133941673137</v>
      </c>
      <c r="AB149" s="42">
        <f>AA149*F149</f>
        <v>109.04520547505824</v>
      </c>
      <c r="AC149" s="43"/>
      <c r="AD149" s="30" t="s">
        <v>91</v>
      </c>
      <c r="AE149" s="44">
        <f>INDEX('İşçilik Özet'!$W$6:$W$200,MATCH($A149&amp;"",'İşçilik Özet'!$A$6:$A$200,0))</f>
        <v>6.5549999999999997</v>
      </c>
      <c r="AF149" s="44">
        <f>INDEX('İşçilik Özet'!$X$6:$X$200,MATCH($A149&amp;"",'İşçilik Özet'!$A$6:$A$200,0))</f>
        <v>14.1625</v>
      </c>
      <c r="AG149" s="44">
        <f>INDEX('İşçilik Özet'!$Y$6:$Y$200,MATCH($A149&amp;"",'İşçilik Özet'!$A$6:$A$200,0))</f>
        <v>11.2</v>
      </c>
      <c r="AH149" s="45">
        <f>(L149+P149)*F149+IF(E149="Kataforez",N(Q149)*F149,IF(E149="Yaş boya",ROUNDUP(F149/MAX(1,ROUND(IF(ISNUMBER(Q149),Q149,Parametreler!$B$11),0)),0)*Parametreler!$B$10,0))</f>
        <v>76.255388444096667</v>
      </c>
    </row>
    <row r="150" spans="1:34" ht="15" customHeight="1" x14ac:dyDescent="0.25">
      <c r="A150" s="30">
        <v>543418</v>
      </c>
      <c r="B150" s="30" t="s">
        <v>198</v>
      </c>
      <c r="C150" s="30" t="s">
        <v>139</v>
      </c>
      <c r="D150" s="30" t="s">
        <v>23</v>
      </c>
      <c r="E150" s="30" t="s">
        <v>86</v>
      </c>
      <c r="F150" s="31">
        <v>9</v>
      </c>
      <c r="G150" s="32">
        <v>0.747</v>
      </c>
      <c r="H150" s="33">
        <f>INDEX('Sac Özet'!$L$5:$L$199,MATCH($A150&amp;"",'Sac Özet'!$A$5:$A$199,0))</f>
        <v>0.91098292682926829</v>
      </c>
      <c r="I150" s="33">
        <f>INDEX('Sac Özet'!$M$5:$M$199,MATCH($A150&amp;"",'Sac Özet'!$A$5:$A$199,0))</f>
        <v>0.16397692682926823</v>
      </c>
      <c r="J150" s="34">
        <f>INDEX('Sac Özet'!$N$5:$N$199,MATCH($A150&amp;"",'Sac Özet'!$A$5:$A$199,0))</f>
        <v>0.67512116541019962</v>
      </c>
      <c r="K150" s="35">
        <f>SUMPRODUCT((--'Satınalma Parçaları'!$A$2:$A$107=--$A150)*'Satınalma Parçaları'!$L$2:$L$107)</f>
        <v>0</v>
      </c>
      <c r="L150" s="36">
        <f>J150+N(K150)</f>
        <v>0.67512116541019962</v>
      </c>
      <c r="M150" s="37">
        <f>AE150/100*Parametreler!$B$7</f>
        <v>0</v>
      </c>
      <c r="N150" s="37">
        <f>AF150/100*Parametreler!$B$8</f>
        <v>2.5824999999999996</v>
      </c>
      <c r="O150" s="37">
        <f>AG150/100*Parametreler!$B$9</f>
        <v>0.96799999999999997</v>
      </c>
      <c r="P150" s="36">
        <f>SUM(M150:O150)</f>
        <v>3.5504999999999995</v>
      </c>
      <c r="Q150" s="38">
        <f>VLOOKUP($A150,'Yaş Boya Listesi'!$B$6:$L$131,11,FALSE())</f>
        <v>20</v>
      </c>
      <c r="R150" s="37">
        <f>IF(E150="Kataforez",N(Q150),IF(E150="Yaş boya",Parametreler!$B$10/MAX(1,ROUND(IF(ISNUMBER(Q150),Q150,Parametreler!$B$11),0)),0))</f>
        <v>4</v>
      </c>
      <c r="S150" s="36">
        <f>L150+P150+R150</f>
        <v>8.2256211654101996</v>
      </c>
      <c r="T150" s="39">
        <f>IF(S150=0,0,L150/S150)</f>
        <v>8.207540218958434E-2</v>
      </c>
      <c r="U150" s="39">
        <f>IF(S150=0,0,P150/S150)</f>
        <v>0.43163913443161123</v>
      </c>
      <c r="V150" s="39">
        <f>IF(S150=0,0,R150/S150)</f>
        <v>0.48628546337880441</v>
      </c>
      <c r="W150" s="40">
        <f>SUM(AE150:AG150)/100*F150</f>
        <v>1.5977249999999998</v>
      </c>
      <c r="X150" s="37">
        <f>IF($G150=0,0,J150/$G150)</f>
        <v>0.90377666052235561</v>
      </c>
      <c r="Y150" s="37">
        <f>IF($G150=0,0,S150/$G150)</f>
        <v>11.011541051419277</v>
      </c>
      <c r="Z150" s="41">
        <f>IF($G150=0,0,L150/$G150)</f>
        <v>0.90377666052235561</v>
      </c>
      <c r="AA150" s="36">
        <f>S150*Parametreler!$B$12</f>
        <v>11.762638266536586</v>
      </c>
      <c r="AB150" s="42">
        <f>AA150*F150</f>
        <v>105.86374439882927</v>
      </c>
      <c r="AC150" s="43"/>
      <c r="AD150" s="30" t="s">
        <v>91</v>
      </c>
      <c r="AE150" s="44">
        <f>INDEX('İşçilik Özet'!$W$6:$W$200,MATCH($A150&amp;"",'İşçilik Özet'!$A$6:$A$200,0))</f>
        <v>0</v>
      </c>
      <c r="AF150" s="44">
        <f>INDEX('İşçilik Özet'!$X$6:$X$200,MATCH($A150&amp;"",'İşçilik Özet'!$A$6:$A$200,0))</f>
        <v>12.9125</v>
      </c>
      <c r="AG150" s="44">
        <f>INDEX('İşçilik Özet'!$Y$6:$Y$200,MATCH($A150&amp;"",'İşçilik Özet'!$A$6:$A$200,0))</f>
        <v>4.84</v>
      </c>
      <c r="AH150" s="45">
        <f>(L150+P150)*F150+IF(E150="Kataforez",N(Q150)*F150,IF(E150="Yaş boya",ROUNDUP(F150/MAX(1,ROUND(IF(ISNUMBER(Q150),Q150,Parametreler!$B$11),0)),0)*Parametreler!$B$10,0))</f>
        <v>118.0305904886918</v>
      </c>
    </row>
    <row r="151" spans="1:34" ht="15" customHeight="1" x14ac:dyDescent="0.25">
      <c r="A151" s="30">
        <v>433814</v>
      </c>
      <c r="B151" s="30" t="s">
        <v>354</v>
      </c>
      <c r="C151" s="30" t="s">
        <v>139</v>
      </c>
      <c r="D151" s="30" t="s">
        <v>23</v>
      </c>
      <c r="E151" s="30" t="s">
        <v>124</v>
      </c>
      <c r="F151" s="31">
        <v>10</v>
      </c>
      <c r="G151" s="32">
        <v>6.7590000000000003</v>
      </c>
      <c r="H151" s="33">
        <f>INDEX('Sac Özet'!$L$5:$L$199,MATCH($A151&amp;"",'Sac Özet'!$A$5:$A$199,0))</f>
        <v>2.9013600000000004</v>
      </c>
      <c r="I151" s="33">
        <f>INDEX('Sac Özet'!$M$5:$M$199,MATCH($A151&amp;"",'Sac Özet'!$A$5:$A$199,0))</f>
        <v>9.7025999999999959E-2</v>
      </c>
      <c r="J151" s="34">
        <f>INDEX('Sac Özet'!$N$5:$N$199,MATCH($A151&amp;"",'Sac Özet'!$A$5:$A$199,0))</f>
        <v>2.2893340363636363</v>
      </c>
      <c r="K151" s="35">
        <f>SUMPRODUCT((--'Satınalma Parçaları'!$A$2:$A$107=--$A151)*'Satınalma Parçaları'!$L$2:$L$107)</f>
        <v>2.76</v>
      </c>
      <c r="L151" s="36">
        <f>J151+N(K151)</f>
        <v>5.0493340363636356</v>
      </c>
      <c r="M151" s="37">
        <f>AE151/100*Parametreler!$B$7</f>
        <v>0</v>
      </c>
      <c r="N151" s="37">
        <f>AF151/100*Parametreler!$B$8</f>
        <v>1.5825</v>
      </c>
      <c r="O151" s="37">
        <f>AG151/100*Parametreler!$B$9</f>
        <v>0.87199999999999989</v>
      </c>
      <c r="P151" s="36">
        <f>SUM(M151:O151)</f>
        <v>2.4544999999999999</v>
      </c>
      <c r="Q151" s="47"/>
      <c r="R151" s="37">
        <f>IF(E151="Kataforez",N(Q151),IF(E151="Yaş boya",Parametreler!$B$10/MAX(1,ROUND(IF(ISNUMBER(Q151),Q151,Parametreler!$B$11),0)),0))</f>
        <v>0</v>
      </c>
      <c r="S151" s="36">
        <f>L151+P151+R151</f>
        <v>7.5038340363636351</v>
      </c>
      <c r="T151" s="39">
        <f>IF(S151=0,0,L151/S151)</f>
        <v>0.6729005481590512</v>
      </c>
      <c r="U151" s="39">
        <f>IF(S151=0,0,P151/S151)</f>
        <v>0.32709945184094891</v>
      </c>
      <c r="V151" s="39">
        <f>IF(S151=0,0,R151/S151)</f>
        <v>0</v>
      </c>
      <c r="W151" s="40">
        <f>SUM(AE151:AG151)/100*F151</f>
        <v>1.22725</v>
      </c>
      <c r="X151" s="37">
        <f>IF($G151=0,0,J151/$G151)</f>
        <v>0.33870898599846666</v>
      </c>
      <c r="Y151" s="37">
        <f>IF($G151=0,0,S151/$G151)</f>
        <v>1.1101988513631653</v>
      </c>
      <c r="Z151" s="41">
        <f>IF($G151=0,0,L151/$G151)</f>
        <v>0.74705341564782302</v>
      </c>
      <c r="AA151" s="36">
        <f>S151*Parametreler!$B$12</f>
        <v>10.730482671999997</v>
      </c>
      <c r="AB151" s="42">
        <f>AA151*F151</f>
        <v>107.30482671999997</v>
      </c>
      <c r="AC151" s="43" t="s">
        <v>355</v>
      </c>
      <c r="AD151" s="30" t="s">
        <v>96</v>
      </c>
      <c r="AE151" s="44">
        <f>INDEX('İşçilik Özet'!$W$6:$W$200,MATCH($A151&amp;"",'İşçilik Özet'!$A$6:$A$200,0))</f>
        <v>0</v>
      </c>
      <c r="AF151" s="44">
        <f>INDEX('İşçilik Özet'!$X$6:$X$200,MATCH($A151&amp;"",'İşçilik Özet'!$A$6:$A$200,0))</f>
        <v>7.9124999999999996</v>
      </c>
      <c r="AG151" s="44">
        <f>INDEX('İşçilik Özet'!$Y$6:$Y$200,MATCH($A151&amp;"",'İşçilik Özet'!$A$6:$A$200,0))</f>
        <v>4.3599999999999994</v>
      </c>
      <c r="AH151" s="45">
        <f>(L151+P151)*F151+IF(E151="Kataforez",N(Q151)*F151,IF(E151="Yaş boya",ROUNDUP(F151/MAX(1,ROUND(IF(ISNUMBER(Q151),Q151,Parametreler!$B$11),0)),0)*Parametreler!$B$10,0))</f>
        <v>75.038340363636351</v>
      </c>
    </row>
    <row r="152" spans="1:34" ht="15" customHeight="1" x14ac:dyDescent="0.25">
      <c r="A152" s="30">
        <v>448650</v>
      </c>
      <c r="B152" s="30" t="s">
        <v>341</v>
      </c>
      <c r="C152" s="30" t="s">
        <v>139</v>
      </c>
      <c r="D152" s="30" t="s">
        <v>23</v>
      </c>
      <c r="E152" s="30" t="s">
        <v>124</v>
      </c>
      <c r="F152" s="31">
        <v>14</v>
      </c>
      <c r="G152" s="32">
        <v>1.3580000000000001</v>
      </c>
      <c r="H152" s="33">
        <f>INDEX('Sac Özet'!$L$5:$L$199,MATCH($A152&amp;"",'Sac Özet'!$A$5:$A$199,0))</f>
        <v>1.7112602027883392</v>
      </c>
      <c r="I152" s="33">
        <f>INDEX('Sac Özet'!$M$5:$M$199,MATCH($A152&amp;"",'Sac Özet'!$A$5:$A$199,0))</f>
        <v>0.35328870278833946</v>
      </c>
      <c r="J152" s="34">
        <f>INDEX('Sac Özet'!$N$5:$N$199,MATCH($A152&amp;"",'Sac Özet'!$A$5:$A$199,0))</f>
        <v>1.2533864049544881</v>
      </c>
      <c r="K152" s="35">
        <f>SUMPRODUCT((--'Satınalma Parçaları'!$A$2:$A$107=--$A152)*'Satınalma Parçaları'!$L$2:$L$107)</f>
        <v>0</v>
      </c>
      <c r="L152" s="36">
        <f>J152+N(K152)</f>
        <v>1.2533864049544881</v>
      </c>
      <c r="M152" s="37">
        <f>AE152/100*Parametreler!$B$7</f>
        <v>1.081</v>
      </c>
      <c r="N152" s="37">
        <f>AF152/100*Parametreler!$B$8</f>
        <v>2.0825</v>
      </c>
      <c r="O152" s="37">
        <f>AG152/100*Parametreler!$B$9</f>
        <v>0.81999999999999984</v>
      </c>
      <c r="P152" s="36">
        <f>SUM(M152:O152)</f>
        <v>3.9834999999999998</v>
      </c>
      <c r="Q152" s="47"/>
      <c r="R152" s="37">
        <f>IF(E152="Kataforez",N(Q152),IF(E152="Yaş boya",Parametreler!$B$10/MAX(1,ROUND(IF(ISNUMBER(Q152),Q152,Parametreler!$B$11),0)),0))</f>
        <v>0</v>
      </c>
      <c r="S152" s="36">
        <f>L152+P152+R152</f>
        <v>5.2368864049544879</v>
      </c>
      <c r="T152" s="39">
        <f>IF(S152=0,0,L152/S152)</f>
        <v>0.23933809291121733</v>
      </c>
      <c r="U152" s="39">
        <f>IF(S152=0,0,P152/S152)</f>
        <v>0.76066190708878267</v>
      </c>
      <c r="V152" s="39">
        <f>IF(S152=0,0,R152/S152)</f>
        <v>0</v>
      </c>
      <c r="W152" s="40">
        <f>SUM(AE152:AG152)/100*F152</f>
        <v>2.7884499999999997</v>
      </c>
      <c r="X152" s="37">
        <f>IF($G152=0,0,J152/$G152)</f>
        <v>0.92296495210197937</v>
      </c>
      <c r="Y152" s="37">
        <f>IF($G152=0,0,S152/$G152)</f>
        <v>3.8563228313361471</v>
      </c>
      <c r="Z152" s="41">
        <f>IF($G152=0,0,L152/$G152)</f>
        <v>0.92296495210197937</v>
      </c>
      <c r="AA152" s="36">
        <f>S152*Parametreler!$B$12</f>
        <v>7.4887475590849171</v>
      </c>
      <c r="AB152" s="42">
        <f>AA152*F152</f>
        <v>104.84246582718885</v>
      </c>
      <c r="AC152" s="43"/>
      <c r="AD152" s="30" t="s">
        <v>91</v>
      </c>
      <c r="AE152" s="44">
        <f>INDEX('İşçilik Özet'!$W$6:$W$200,MATCH($A152&amp;"",'İşçilik Özet'!$A$6:$A$200,0))</f>
        <v>5.4049999999999994</v>
      </c>
      <c r="AF152" s="44">
        <f>INDEX('İşçilik Özet'!$X$6:$X$200,MATCH($A152&amp;"",'İşçilik Özet'!$A$6:$A$200,0))</f>
        <v>10.4125</v>
      </c>
      <c r="AG152" s="44">
        <f>INDEX('İşçilik Özet'!$Y$6:$Y$200,MATCH($A152&amp;"",'İşçilik Özet'!$A$6:$A$200,0))</f>
        <v>4.0999999999999996</v>
      </c>
      <c r="AH152" s="45">
        <f>(L152+P152)*F152+IF(E152="Kataforez",N(Q152)*F152,IF(E152="Yaş boya",ROUNDUP(F152/MAX(1,ROUND(IF(ISNUMBER(Q152),Q152,Parametreler!$B$11),0)),0)*Parametreler!$B$10,0))</f>
        <v>73.316409669362827</v>
      </c>
    </row>
    <row r="153" spans="1:34" ht="15" customHeight="1" x14ac:dyDescent="0.25">
      <c r="A153" s="30">
        <v>108529</v>
      </c>
      <c r="B153" s="30" t="s">
        <v>278</v>
      </c>
      <c r="C153" s="30" t="s">
        <v>119</v>
      </c>
      <c r="D153" s="30" t="s">
        <v>23</v>
      </c>
      <c r="E153" s="30" t="s">
        <v>86</v>
      </c>
      <c r="F153" s="31">
        <v>5</v>
      </c>
      <c r="G153" s="32">
        <v>2.6190000000000002</v>
      </c>
      <c r="H153" s="33">
        <f>INDEX('Sac Özet'!$L$5:$L$199,MATCH($A153&amp;"",'Sac Özet'!$A$5:$A$199,0))</f>
        <v>3.3033333622368541</v>
      </c>
      <c r="I153" s="33">
        <f>INDEX('Sac Özet'!$M$5:$M$199,MATCH($A153&amp;"",'Sac Özet'!$A$5:$A$199,0))</f>
        <v>0.68433786223685422</v>
      </c>
      <c r="J153" s="34">
        <f>INDEX('Sac Özet'!$N$5:$N$199,MATCH($A153&amp;"",'Sac Özet'!$A$5:$A$199,0))</f>
        <v>2.4187015712392403</v>
      </c>
      <c r="K153" s="35">
        <f>SUMPRODUCT((--'Satınalma Parçaları'!$A$2:$A$107=--$A153)*'Satınalma Parçaları'!$L$2:$L$107)</f>
        <v>0</v>
      </c>
      <c r="L153" s="36">
        <f>J153+N(K153)</f>
        <v>2.4187015712392403</v>
      </c>
      <c r="M153" s="37">
        <f>AE153/100*Parametreler!$B$7</f>
        <v>1.3109999999999999</v>
      </c>
      <c r="N153" s="37">
        <f>AF153/100*Parametreler!$B$8</f>
        <v>1.8325</v>
      </c>
      <c r="O153" s="37">
        <f>AG153/100*Parametreler!$B$9</f>
        <v>0.95</v>
      </c>
      <c r="P153" s="36">
        <f>SUM(M153:O153)</f>
        <v>4.0934999999999997</v>
      </c>
      <c r="Q153" s="38">
        <f>VLOOKUP($A153,'Yaş Boya Listesi'!$B$6:$L$131,11,FALSE())</f>
        <v>10</v>
      </c>
      <c r="R153" s="37">
        <f>IF(E153="Kataforez",N(Q153),IF(E153="Yaş boya",Parametreler!$B$10/MAX(1,ROUND(IF(ISNUMBER(Q153),Q153,Parametreler!$B$11),0)),0))</f>
        <v>8</v>
      </c>
      <c r="S153" s="36">
        <f>L153+P153+R153</f>
        <v>14.51220157123924</v>
      </c>
      <c r="T153" s="39">
        <f>IF(S153=0,0,L153/S153)</f>
        <v>0.16666675689184907</v>
      </c>
      <c r="U153" s="39">
        <f>IF(S153=0,0,P153/S153)</f>
        <v>0.28207298388913182</v>
      </c>
      <c r="V153" s="39">
        <f>IF(S153=0,0,R153/S153)</f>
        <v>0.55126025921901911</v>
      </c>
      <c r="W153" s="40">
        <f>SUM(AE153:AG153)/100*F153</f>
        <v>1.0233750000000001</v>
      </c>
      <c r="X153" s="37">
        <f>IF($G153=0,0,J153/$G153)</f>
        <v>0.92352102758275678</v>
      </c>
      <c r="Y153" s="37">
        <f>IF($G153=0,0,S153/$G153)</f>
        <v>5.5411231658034517</v>
      </c>
      <c r="Z153" s="41">
        <f>IF($G153=0,0,L153/$G153)</f>
        <v>0.92352102758275678</v>
      </c>
      <c r="AA153" s="36">
        <f>S153*Parametreler!$B$12</f>
        <v>20.752448246872113</v>
      </c>
      <c r="AB153" s="42">
        <f>AA153*F153</f>
        <v>103.76224123436057</v>
      </c>
      <c r="AC153" s="43"/>
      <c r="AD153" s="30" t="s">
        <v>91</v>
      </c>
      <c r="AE153" s="44">
        <f>INDEX('İşçilik Özet'!$W$6:$W$200,MATCH($A153&amp;"",'İşçilik Özet'!$A$6:$A$200,0))</f>
        <v>6.5549999999999997</v>
      </c>
      <c r="AF153" s="44">
        <f>INDEX('İşçilik Özet'!$X$6:$X$200,MATCH($A153&amp;"",'İşçilik Özet'!$A$6:$A$200,0))</f>
        <v>9.1624999999999996</v>
      </c>
      <c r="AG153" s="44">
        <f>INDEX('İşçilik Özet'!$Y$6:$Y$200,MATCH($A153&amp;"",'İşçilik Özet'!$A$6:$A$200,0))</f>
        <v>4.75</v>
      </c>
      <c r="AH153" s="45">
        <f>(L153+P153)*F153+IF(E153="Kataforez",N(Q153)*F153,IF(E153="Yaş boya",ROUNDUP(F153/MAX(1,ROUND(IF(ISNUMBER(Q153),Q153,Parametreler!$B$11),0)),0)*Parametreler!$B$10,0))</f>
        <v>112.5610078561962</v>
      </c>
    </row>
    <row r="154" spans="1:34" ht="15" customHeight="1" x14ac:dyDescent="0.25">
      <c r="A154" s="30">
        <v>108818</v>
      </c>
      <c r="B154" s="30" t="s">
        <v>264</v>
      </c>
      <c r="C154" s="30" t="s">
        <v>107</v>
      </c>
      <c r="D154" s="30" t="s">
        <v>23</v>
      </c>
      <c r="E154" s="30" t="s">
        <v>86</v>
      </c>
      <c r="F154" s="31">
        <v>5</v>
      </c>
      <c r="G154" s="32">
        <v>1.4890000000000001</v>
      </c>
      <c r="H154" s="33">
        <f>INDEX('Sac Özet'!$L$5:$L$199,MATCH($A154&amp;"",'Sac Özet'!$A$5:$A$199,0))</f>
        <v>1.2549278048780488</v>
      </c>
      <c r="I154" s="33">
        <f>INDEX('Sac Özet'!$M$5:$M$199,MATCH($A154&amp;"",'Sac Özet'!$A$5:$A$199,0))</f>
        <v>0.22588700487804869</v>
      </c>
      <c r="J154" s="34">
        <f>INDEX('Sac Özet'!$N$5:$N$199,MATCH($A154&amp;"",'Sac Özet'!$A$5:$A$199,0))</f>
        <v>0.93001558776053206</v>
      </c>
      <c r="K154" s="35">
        <f>SUMPRODUCT((--'Satınalma Parçaları'!$A$2:$A$107=--$A154)*'Satınalma Parçaları'!$L$2:$L$107)</f>
        <v>0</v>
      </c>
      <c r="L154" s="36">
        <f>J154+N(K154)</f>
        <v>0.93001558776053206</v>
      </c>
      <c r="M154" s="37">
        <f>AE154/100*Parametreler!$B$7</f>
        <v>0</v>
      </c>
      <c r="N154" s="37">
        <f>AF154/100*Parametreler!$B$8</f>
        <v>3.5825</v>
      </c>
      <c r="O154" s="37">
        <f>AG154/100*Parametreler!$B$9</f>
        <v>1.7627999999999999</v>
      </c>
      <c r="P154" s="36">
        <f>SUM(M154:O154)</f>
        <v>5.3452999999999999</v>
      </c>
      <c r="Q154" s="38">
        <f>VLOOKUP($A154,'Yaş Boya Listesi'!$B$6:$L$131,11,FALSE())</f>
        <v>10</v>
      </c>
      <c r="R154" s="37">
        <f>IF(E154="Kataforez",N(Q154),IF(E154="Yaş boya",Parametreler!$B$10/MAX(1,ROUND(IF(ISNUMBER(Q154),Q154,Parametreler!$B$11),0)),0))</f>
        <v>8</v>
      </c>
      <c r="S154" s="36">
        <f>L154+P154+R154</f>
        <v>14.275315587760531</v>
      </c>
      <c r="T154" s="39">
        <f>IF(S154=0,0,L154/S154)</f>
        <v>6.514851332309006E-2</v>
      </c>
      <c r="U154" s="39">
        <f>IF(S154=0,0,P154/S154)</f>
        <v>0.37444356078425267</v>
      </c>
      <c r="V154" s="39">
        <f>IF(S154=0,0,R154/S154)</f>
        <v>0.56040792589265731</v>
      </c>
      <c r="W154" s="40">
        <f>SUM(AE154:AG154)/100*F154</f>
        <v>1.3363250000000002</v>
      </c>
      <c r="X154" s="37">
        <f>IF($G154=0,0,J154/$G154)</f>
        <v>0.62459072381499803</v>
      </c>
      <c r="Y154" s="37">
        <f>IF($G154=0,0,S154/$G154)</f>
        <v>9.5871830676699332</v>
      </c>
      <c r="Z154" s="41">
        <f>IF($G154=0,0,L154/$G154)</f>
        <v>0.62459072381499803</v>
      </c>
      <c r="AA154" s="36">
        <f>S154*Parametreler!$B$12</f>
        <v>20.41370129049756</v>
      </c>
      <c r="AB154" s="42">
        <f>AA154*F154</f>
        <v>102.0685064524878</v>
      </c>
      <c r="AC154" s="43" t="s">
        <v>265</v>
      </c>
      <c r="AD154" s="30" t="s">
        <v>96</v>
      </c>
      <c r="AE154" s="44">
        <f>INDEX('İşçilik Özet'!$W$6:$W$200,MATCH($A154&amp;"",'İşçilik Özet'!$A$6:$A$200,0))</f>
        <v>0</v>
      </c>
      <c r="AF154" s="44">
        <f>INDEX('İşçilik Özet'!$X$6:$X$200,MATCH($A154&amp;"",'İşçilik Özet'!$A$6:$A$200,0))</f>
        <v>17.912500000000001</v>
      </c>
      <c r="AG154" s="44">
        <f>INDEX('İşçilik Özet'!$Y$6:$Y$200,MATCH($A154&amp;"",'İşçilik Özet'!$A$6:$A$200,0))</f>
        <v>8.8140000000000001</v>
      </c>
      <c r="AH154" s="45">
        <f>(L154+P154)*F154+IF(E154="Kataforez",N(Q154)*F154,IF(E154="Yaş boya",ROUNDUP(F154/MAX(1,ROUND(IF(ISNUMBER(Q154),Q154,Parametreler!$B$11),0)),0)*Parametreler!$B$10,0))</f>
        <v>111.37657793880265</v>
      </c>
    </row>
    <row r="155" spans="1:34" ht="15" customHeight="1" x14ac:dyDescent="0.25">
      <c r="A155" s="30">
        <v>1154209</v>
      </c>
      <c r="B155" s="30" t="s">
        <v>344</v>
      </c>
      <c r="C155" s="30" t="s">
        <v>139</v>
      </c>
      <c r="D155" s="30" t="s">
        <v>23</v>
      </c>
      <c r="E155" s="30" t="s">
        <v>124</v>
      </c>
      <c r="F155" s="31">
        <v>6</v>
      </c>
      <c r="G155" s="32">
        <v>5.9059999999999997</v>
      </c>
      <c r="H155" s="33">
        <f>INDEX('Sac Özet'!$L$5:$L$199,MATCH($A155&amp;"",'Sac Özet'!$A$5:$A$199,0))</f>
        <v>3.000040243902439</v>
      </c>
      <c r="I155" s="33">
        <f>INDEX('Sac Özet'!$M$5:$M$199,MATCH($A155&amp;"",'Sac Özet'!$A$5:$A$199,0))</f>
        <v>0.54000724390243882</v>
      </c>
      <c r="J155" s="34">
        <f>INDEX('Sac Özet'!$N$5:$N$199,MATCH($A155&amp;"",'Sac Özet'!$A$5:$A$199,0))</f>
        <v>2.2233025516629712</v>
      </c>
      <c r="K155" s="35">
        <f>SUMPRODUCT((--'Satınalma Parçaları'!$A$2:$A$107=--$A155)*'Satınalma Parçaları'!$L$2:$L$107)</f>
        <v>2.29</v>
      </c>
      <c r="L155" s="36">
        <f>J155+N(K155)</f>
        <v>4.5133025516629708</v>
      </c>
      <c r="M155" s="37">
        <f>AE155/100*Parametreler!$B$7</f>
        <v>0</v>
      </c>
      <c r="N155" s="37">
        <f>AF155/100*Parametreler!$B$8</f>
        <v>4.5824999999999996</v>
      </c>
      <c r="O155" s="37">
        <f>AG155/100*Parametreler!$B$9</f>
        <v>2.7872000000000003</v>
      </c>
      <c r="P155" s="36">
        <f>SUM(M155:O155)</f>
        <v>7.3696999999999999</v>
      </c>
      <c r="Q155" s="47"/>
      <c r="R155" s="37">
        <f>IF(E155="Kataforez",N(Q155),IF(E155="Yaş boya",Parametreler!$B$10/MAX(1,ROUND(IF(ISNUMBER(Q155),Q155,Parametreler!$B$11),0)),0))</f>
        <v>0</v>
      </c>
      <c r="S155" s="36">
        <f>L155+P155+R155</f>
        <v>11.883002551662971</v>
      </c>
      <c r="T155" s="39">
        <f>IF(S155=0,0,L155/S155)</f>
        <v>0.37981162858804191</v>
      </c>
      <c r="U155" s="39">
        <f>IF(S155=0,0,P155/S155)</f>
        <v>0.62018837141195804</v>
      </c>
      <c r="V155" s="39">
        <f>IF(S155=0,0,R155/S155)</f>
        <v>0</v>
      </c>
      <c r="W155" s="40">
        <f>SUM(AE155:AG155)/100*F155</f>
        <v>2.2109100000000002</v>
      </c>
      <c r="X155" s="37">
        <f>IF($G155=0,0,J155/$G155)</f>
        <v>0.37644811237097381</v>
      </c>
      <c r="Y155" s="37">
        <f>IF($G155=0,0,S155/$G155)</f>
        <v>2.012022104920923</v>
      </c>
      <c r="Z155" s="41">
        <f>IF($G155=0,0,L155/$G155)</f>
        <v>0.76418939242515593</v>
      </c>
      <c r="AA155" s="36">
        <f>S155*Parametreler!$B$12</f>
        <v>16.992693648878049</v>
      </c>
      <c r="AB155" s="42">
        <f>AA155*F155</f>
        <v>101.9561618932683</v>
      </c>
      <c r="AC155" s="43" t="s">
        <v>345</v>
      </c>
      <c r="AD155" s="30" t="s">
        <v>96</v>
      </c>
      <c r="AE155" s="44">
        <f>INDEX('İşçilik Özet'!$W$6:$W$200,MATCH($A155&amp;"",'İşçilik Özet'!$A$6:$A$200,0))</f>
        <v>0</v>
      </c>
      <c r="AF155" s="44">
        <f>INDEX('İşçilik Özet'!$X$6:$X$200,MATCH($A155&amp;"",'İşçilik Özet'!$A$6:$A$200,0))</f>
        <v>22.912499999999998</v>
      </c>
      <c r="AG155" s="44">
        <f>INDEX('İşçilik Özet'!$Y$6:$Y$200,MATCH($A155&amp;"",'İşçilik Özet'!$A$6:$A$200,0))</f>
        <v>13.936</v>
      </c>
      <c r="AH155" s="45">
        <f>(L155+P155)*F155+IF(E155="Kataforez",N(Q155)*F155,IF(E155="Yaş boya",ROUNDUP(F155/MAX(1,ROUND(IF(ISNUMBER(Q155),Q155,Parametreler!$B$11),0)),0)*Parametreler!$B$10,0))</f>
        <v>71.298015309977828</v>
      </c>
    </row>
    <row r="156" spans="1:34" ht="15" customHeight="1" x14ac:dyDescent="0.25">
      <c r="A156" s="30">
        <v>603803</v>
      </c>
      <c r="B156" s="30" t="s">
        <v>346</v>
      </c>
      <c r="C156" s="30" t="s">
        <v>99</v>
      </c>
      <c r="D156" s="30" t="s">
        <v>23</v>
      </c>
      <c r="E156" s="30" t="s">
        <v>124</v>
      </c>
      <c r="F156" s="31">
        <v>10</v>
      </c>
      <c r="G156" s="32">
        <v>3.2770000000000001</v>
      </c>
      <c r="H156" s="33">
        <f>INDEX('Sac Özet'!$L$5:$L$199,MATCH($A156&amp;"",'Sac Özet'!$A$5:$A$199,0))</f>
        <v>4.0862838301029392</v>
      </c>
      <c r="I156" s="33">
        <f>INDEX('Sac Özet'!$M$5:$M$199,MATCH($A156&amp;"",'Sac Özet'!$A$5:$A$199,0))</f>
        <v>0.80931703010293954</v>
      </c>
      <c r="J156" s="34">
        <f>INDEX('Sac Özet'!$N$5:$N$199,MATCH($A156&amp;"",'Sac Özet'!$A$5:$A$199,0))</f>
        <v>3.0041596724122988</v>
      </c>
      <c r="K156" s="35">
        <f>SUMPRODUCT((--'Satınalma Parçaları'!$A$2:$A$107=--$A156)*'Satınalma Parçaları'!$L$2:$L$107)</f>
        <v>0</v>
      </c>
      <c r="L156" s="36">
        <f>J156+N(K156)</f>
        <v>3.0041596724122988</v>
      </c>
      <c r="M156" s="37">
        <f>AE156/100*Parametreler!$B$7</f>
        <v>1.3109999999999999</v>
      </c>
      <c r="N156" s="37">
        <f>AF156/100*Parametreler!$B$8</f>
        <v>1.8325</v>
      </c>
      <c r="O156" s="37">
        <f>AG156/100*Parametreler!$B$9</f>
        <v>1.1000000000000001</v>
      </c>
      <c r="P156" s="36">
        <f>SUM(M156:O156)</f>
        <v>4.2435</v>
      </c>
      <c r="Q156" s="47"/>
      <c r="R156" s="37">
        <f>IF(E156="Kataforez",N(Q156),IF(E156="Yaş boya",Parametreler!$B$10/MAX(1,ROUND(IF(ISNUMBER(Q156),Q156,Parametreler!$B$11),0)),0))</f>
        <v>0</v>
      </c>
      <c r="S156" s="36">
        <f>L156+P156+R156</f>
        <v>7.2476596724122988</v>
      </c>
      <c r="T156" s="39">
        <f>IF(S156=0,0,L156/S156)</f>
        <v>0.41450065375550388</v>
      </c>
      <c r="U156" s="39">
        <f>IF(S156=0,0,P156/S156)</f>
        <v>0.58549934624449618</v>
      </c>
      <c r="V156" s="39">
        <f>IF(S156=0,0,R156/S156)</f>
        <v>0</v>
      </c>
      <c r="W156" s="40">
        <f>SUM(AE156:AG156)/100*F156</f>
        <v>2.12175</v>
      </c>
      <c r="X156" s="37">
        <f>IF($G156=0,0,J156/$G156)</f>
        <v>0.91674082160887971</v>
      </c>
      <c r="Y156" s="37">
        <f>IF($G156=0,0,S156/$G156)</f>
        <v>2.2116752128203534</v>
      </c>
      <c r="Z156" s="41">
        <f>IF($G156=0,0,L156/$G156)</f>
        <v>0.91674082160887971</v>
      </c>
      <c r="AA156" s="36">
        <f>S156*Parametreler!$B$12</f>
        <v>10.364153331549586</v>
      </c>
      <c r="AB156" s="42">
        <f>AA156*F156</f>
        <v>103.64153331549586</v>
      </c>
      <c r="AC156" s="43"/>
      <c r="AD156" s="30" t="s">
        <v>91</v>
      </c>
      <c r="AE156" s="44">
        <f>INDEX('İşçilik Özet'!$W$6:$W$200,MATCH($A156&amp;"",'İşçilik Özet'!$A$6:$A$200,0))</f>
        <v>6.5549999999999997</v>
      </c>
      <c r="AF156" s="44">
        <f>INDEX('İşçilik Özet'!$X$6:$X$200,MATCH($A156&amp;"",'İşçilik Özet'!$A$6:$A$200,0))</f>
        <v>9.1624999999999996</v>
      </c>
      <c r="AG156" s="44">
        <f>INDEX('İşçilik Özet'!$Y$6:$Y$200,MATCH($A156&amp;"",'İşçilik Özet'!$A$6:$A$200,0))</f>
        <v>5.5</v>
      </c>
      <c r="AH156" s="45">
        <f>(L156+P156)*F156+IF(E156="Kataforez",N(Q156)*F156,IF(E156="Yaş boya",ROUNDUP(F156/MAX(1,ROUND(IF(ISNUMBER(Q156),Q156,Parametreler!$B$11),0)),0)*Parametreler!$B$10,0))</f>
        <v>72.476596724122984</v>
      </c>
    </row>
    <row r="157" spans="1:34" ht="15" customHeight="1" x14ac:dyDescent="0.25">
      <c r="A157" s="30">
        <v>554887</v>
      </c>
      <c r="B157" s="30" t="s">
        <v>360</v>
      </c>
      <c r="C157" s="30" t="s">
        <v>139</v>
      </c>
      <c r="D157" s="30" t="s">
        <v>85</v>
      </c>
      <c r="E157" s="30" t="s">
        <v>124</v>
      </c>
      <c r="F157" s="31">
        <v>5</v>
      </c>
      <c r="G157" s="32">
        <v>14.305</v>
      </c>
      <c r="H157" s="33">
        <f>INDEX('Sac Özet'!$L$5:$L$199,MATCH($A157&amp;"",'Sac Özet'!$A$5:$A$199,0))</f>
        <v>19.122599999999998</v>
      </c>
      <c r="I157" s="33">
        <f>INDEX('Sac Özet'!$M$5:$M$199,MATCH($A157&amp;"",'Sac Özet'!$A$5:$A$199,0))</f>
        <v>8.7189164999999971</v>
      </c>
      <c r="J157" s="34">
        <f>INDEX('Sac Özet'!$N$5:$N$199,MATCH($A157&amp;"",'Sac Özet'!$A$5:$A$199,0))</f>
        <v>12.444616418181818</v>
      </c>
      <c r="K157" s="35">
        <f>SUMPRODUCT((--'Satınalma Parçaları'!$A$2:$A$107=--$A157)*'Satınalma Parçaları'!$L$2:$L$107)</f>
        <v>0</v>
      </c>
      <c r="L157" s="36">
        <f>J157+N(K157)</f>
        <v>12.444616418181818</v>
      </c>
      <c r="M157" s="37">
        <f>AE157/100*Parametreler!$B$7</f>
        <v>0</v>
      </c>
      <c r="N157" s="37">
        <f>AF157/100*Parametreler!$B$8</f>
        <v>3.0824999999999996</v>
      </c>
      <c r="O157" s="37">
        <f>AG157/100*Parametreler!$B$9</f>
        <v>0</v>
      </c>
      <c r="P157" s="36">
        <f>SUM(M157:O157)</f>
        <v>3.0824999999999996</v>
      </c>
      <c r="Q157" s="47"/>
      <c r="R157" s="37">
        <f>IF(E157="Kataforez",N(Q157),IF(E157="Yaş boya",Parametreler!$B$10/MAX(1,ROUND(IF(ISNUMBER(Q157),Q157,Parametreler!$B$11),0)),0))</f>
        <v>0</v>
      </c>
      <c r="S157" s="36">
        <f>L157+P157+R157</f>
        <v>15.527116418181818</v>
      </c>
      <c r="T157" s="39">
        <f>IF(S157=0,0,L157/S157)</f>
        <v>0.80147633874951318</v>
      </c>
      <c r="U157" s="39">
        <f>IF(S157=0,0,P157/S157)</f>
        <v>0.19852366125048684</v>
      </c>
      <c r="V157" s="39">
        <f>IF(S157=0,0,R157/S157)</f>
        <v>0</v>
      </c>
      <c r="W157" s="40">
        <f>SUM(AE157:AG157)/100*F157</f>
        <v>0.77062499999999989</v>
      </c>
      <c r="X157" s="37">
        <f>IF($G157=0,0,J157/$G157)</f>
        <v>0.86994871850274857</v>
      </c>
      <c r="Y157" s="37">
        <f>IF($G157=0,0,S157/$G157)</f>
        <v>1.0854328149725143</v>
      </c>
      <c r="Z157" s="41">
        <f>IF($G157=0,0,L157/$G157)</f>
        <v>0.86994871850274857</v>
      </c>
      <c r="AA157" s="36">
        <f>S157*Parametreler!$B$12</f>
        <v>22.203776477999998</v>
      </c>
      <c r="AB157" s="42">
        <f>AA157*F157</f>
        <v>111.01888238999999</v>
      </c>
      <c r="AC157" s="43" t="s">
        <v>271</v>
      </c>
      <c r="AD157" s="30" t="s">
        <v>101</v>
      </c>
      <c r="AE157" s="44">
        <f>INDEX('İşçilik Özet'!$W$6:$W$200,MATCH($A157&amp;"",'İşçilik Özet'!$A$6:$A$200,0))</f>
        <v>0</v>
      </c>
      <c r="AF157" s="44">
        <f>INDEX('İşçilik Özet'!$X$6:$X$200,MATCH($A157&amp;"",'İşçilik Özet'!$A$6:$A$200,0))</f>
        <v>15.4125</v>
      </c>
      <c r="AG157" s="44">
        <f>INDEX('İşçilik Özet'!$Y$6:$Y$200,MATCH($A157&amp;"",'İşçilik Özet'!$A$6:$A$200,0))</f>
        <v>0</v>
      </c>
      <c r="AH157" s="45">
        <f>(L157+P157)*F157+IF(E157="Kataforez",N(Q157)*F157,IF(E157="Yaş boya",ROUNDUP(F157/MAX(1,ROUND(IF(ISNUMBER(Q157),Q157,Parametreler!$B$11),0)),0)*Parametreler!$B$10,0))</f>
        <v>77.635582090909082</v>
      </c>
    </row>
    <row r="158" spans="1:34" ht="15" customHeight="1" x14ac:dyDescent="0.25">
      <c r="A158" s="30">
        <v>1180538</v>
      </c>
      <c r="B158" s="30" t="s">
        <v>342</v>
      </c>
      <c r="C158" s="30" t="s">
        <v>117</v>
      </c>
      <c r="D158" s="30" t="s">
        <v>23</v>
      </c>
      <c r="E158" s="30" t="s">
        <v>124</v>
      </c>
      <c r="F158" s="31">
        <v>5</v>
      </c>
      <c r="G158" s="32">
        <v>6.3760000000000003</v>
      </c>
      <c r="H158" s="33">
        <f>INDEX('Sac Özet'!$L$5:$L$199,MATCH($A158&amp;"",'Sac Özet'!$A$5:$A$199,0))</f>
        <v>6.0248690668181384</v>
      </c>
      <c r="I158" s="33">
        <f>INDEX('Sac Özet'!$M$5:$M$199,MATCH($A158&amp;"",'Sac Özet'!$A$5:$A$199,0))</f>
        <v>1.2568811168181391</v>
      </c>
      <c r="J158" s="34">
        <f>INDEX('Sac Özet'!$N$5:$N$199,MATCH($A158&amp;"",'Sac Özet'!$A$5:$A$199,0))</f>
        <v>4.408552342495847</v>
      </c>
      <c r="K158" s="35">
        <f>SUMPRODUCT((--'Satınalma Parçaları'!$A$2:$A$107=--$A158)*'Satınalma Parçaları'!$L$2:$L$107)</f>
        <v>0</v>
      </c>
      <c r="L158" s="36">
        <f>J158+N(K158)</f>
        <v>4.408552342495847</v>
      </c>
      <c r="M158" s="37">
        <f>AE158/100*Parametreler!$B$7</f>
        <v>3.9329999999999998</v>
      </c>
      <c r="N158" s="37">
        <f>AF158/100*Parametreler!$B$8</f>
        <v>3.8325000000000005</v>
      </c>
      <c r="O158" s="37">
        <f>AG158/100*Parametreler!$B$9</f>
        <v>1.8972</v>
      </c>
      <c r="P158" s="36">
        <f>SUM(M158:O158)</f>
        <v>9.662700000000001</v>
      </c>
      <c r="Q158" s="47"/>
      <c r="R158" s="37">
        <f>IF(E158="Kataforez",N(Q158),IF(E158="Yaş boya",Parametreler!$B$10/MAX(1,ROUND(IF(ISNUMBER(Q158),Q158,Parametreler!$B$11),0)),0))</f>
        <v>0</v>
      </c>
      <c r="S158" s="36">
        <f>L158+P158+R158</f>
        <v>14.071252342495848</v>
      </c>
      <c r="T158" s="39">
        <f>IF(S158=0,0,L158/S158)</f>
        <v>0.31330205977344394</v>
      </c>
      <c r="U158" s="39">
        <f>IF(S158=0,0,P158/S158)</f>
        <v>0.68669794022655606</v>
      </c>
      <c r="V158" s="39">
        <f>IF(S158=0,0,R158/S158)</f>
        <v>0</v>
      </c>
      <c r="W158" s="40">
        <f>SUM(AE158:AG158)/100*F158</f>
        <v>2.4156750000000002</v>
      </c>
      <c r="X158" s="37">
        <f>IF($G158=0,0,J158/$G158)</f>
        <v>0.69142916287576017</v>
      </c>
      <c r="Y158" s="37">
        <f>IF($G158=0,0,S158/$G158)</f>
        <v>2.2069090875934516</v>
      </c>
      <c r="Z158" s="41">
        <f>IF($G158=0,0,L158/$G158)</f>
        <v>0.69142916287576017</v>
      </c>
      <c r="AA158" s="36">
        <f>S158*Parametreler!$B$12</f>
        <v>20.121890849769063</v>
      </c>
      <c r="AB158" s="42">
        <f>AA158*F158</f>
        <v>100.60945424884531</v>
      </c>
      <c r="AC158" s="43" t="s">
        <v>343</v>
      </c>
      <c r="AD158" s="30" t="s">
        <v>132</v>
      </c>
      <c r="AE158" s="44">
        <f>INDEX('İşçilik Özet'!$W$6:$W$200,MATCH($A158&amp;"",'İşçilik Özet'!$A$6:$A$200,0))</f>
        <v>19.664999999999999</v>
      </c>
      <c r="AF158" s="44">
        <f>INDEX('İşçilik Özet'!$X$6:$X$200,MATCH($A158&amp;"",'İşçilik Özet'!$A$6:$A$200,0))</f>
        <v>19.162500000000001</v>
      </c>
      <c r="AG158" s="44">
        <f>INDEX('İşçilik Özet'!$Y$6:$Y$200,MATCH($A158&amp;"",'İşçilik Özet'!$A$6:$A$200,0))</f>
        <v>9.4860000000000007</v>
      </c>
      <c r="AH158" s="45">
        <f>(L158+P158)*F158+IF(E158="Kataforez",N(Q158)*F158,IF(E158="Yaş boya",ROUNDUP(F158/MAX(1,ROUND(IF(ISNUMBER(Q158),Q158,Parametreler!$B$11),0)),0)*Parametreler!$B$10,0))</f>
        <v>70.356261712479238</v>
      </c>
    </row>
    <row r="159" spans="1:34" ht="15" customHeight="1" x14ac:dyDescent="0.25">
      <c r="A159" s="30">
        <v>1272015</v>
      </c>
      <c r="B159" s="30" t="s">
        <v>287</v>
      </c>
      <c r="C159" s="30" t="s">
        <v>99</v>
      </c>
      <c r="D159" s="30" t="s">
        <v>23</v>
      </c>
      <c r="E159" s="30" t="s">
        <v>86</v>
      </c>
      <c r="F159" s="31">
        <v>5</v>
      </c>
      <c r="G159" s="32">
        <v>2.7519999999999998</v>
      </c>
      <c r="H159" s="33">
        <f>INDEX('Sac Özet'!$L$5:$L$199,MATCH($A159&amp;"",'Sac Özet'!$A$5:$A$199,0))</f>
        <v>3.4691919788865189</v>
      </c>
      <c r="I159" s="33">
        <f>INDEX('Sac Özet'!$M$5:$M$199,MATCH($A159&amp;"",'Sac Özet'!$A$5:$A$199,0))</f>
        <v>0.71721747888651888</v>
      </c>
      <c r="J159" s="34">
        <f>INDEX('Sac Özet'!$N$5:$N$199,MATCH($A159&amp;"",'Sac Özet'!$A$5:$A$199,0))</f>
        <v>2.5406278627463545</v>
      </c>
      <c r="K159" s="35">
        <f>SUMPRODUCT((--'Satınalma Parçaları'!$A$2:$A$107=--$A159)*'Satınalma Parçaları'!$L$2:$L$107)</f>
        <v>0</v>
      </c>
      <c r="L159" s="36">
        <f>J159+N(K159)</f>
        <v>2.5406278627463545</v>
      </c>
      <c r="M159" s="37">
        <f>AE159/100*Parametreler!$B$7</f>
        <v>1.081</v>
      </c>
      <c r="N159" s="37">
        <f>AF159/100*Parametreler!$B$8</f>
        <v>1.5825</v>
      </c>
      <c r="O159" s="37">
        <f>AG159/100*Parametreler!$B$9</f>
        <v>0.60039999999999993</v>
      </c>
      <c r="P159" s="36">
        <f>SUM(M159:O159)</f>
        <v>3.2639</v>
      </c>
      <c r="Q159" s="38">
        <f>VLOOKUP($A159,'Yaş Boya Listesi'!$B$6:$L$131,11,FALSE())</f>
        <v>10</v>
      </c>
      <c r="R159" s="37">
        <f>IF(E159="Kataforez",N(Q159),IF(E159="Yaş boya",Parametreler!$B$10/MAX(1,ROUND(IF(ISNUMBER(Q159),Q159,Parametreler!$B$11),0)),0))</f>
        <v>8</v>
      </c>
      <c r="S159" s="36">
        <f>L159+P159+R159</f>
        <v>13.804527862746355</v>
      </c>
      <c r="T159" s="39">
        <f>IF(S159=0,0,L159/S159)</f>
        <v>0.18404308267598418</v>
      </c>
      <c r="U159" s="39">
        <f>IF(S159=0,0,P159/S159)</f>
        <v>0.23643691638365533</v>
      </c>
      <c r="V159" s="39">
        <f>IF(S159=0,0,R159/S159)</f>
        <v>0.57952000094036049</v>
      </c>
      <c r="W159" s="40">
        <f>SUM(AE159:AG159)/100*F159</f>
        <v>0.81597499999999989</v>
      </c>
      <c r="X159" s="37">
        <f>IF($G159=0,0,J159/$G159)</f>
        <v>0.92319326407934399</v>
      </c>
      <c r="Y159" s="37">
        <f>IF($G159=0,0,S159/$G159)</f>
        <v>5.0161801826839953</v>
      </c>
      <c r="Z159" s="41">
        <f>IF($G159=0,0,L159/$G159)</f>
        <v>0.92319326407934399</v>
      </c>
      <c r="AA159" s="36">
        <f>S159*Parametreler!$B$12</f>
        <v>19.740474843727288</v>
      </c>
      <c r="AB159" s="42">
        <f>AA159*F159</f>
        <v>98.702374218636436</v>
      </c>
      <c r="AC159" s="43"/>
      <c r="AD159" s="30" t="s">
        <v>91</v>
      </c>
      <c r="AE159" s="44">
        <f>INDEX('İşçilik Özet'!$W$6:$W$200,MATCH($A159&amp;"",'İşçilik Özet'!$A$6:$A$200,0))</f>
        <v>5.4049999999999994</v>
      </c>
      <c r="AF159" s="44">
        <f>INDEX('İşçilik Özet'!$X$6:$X$200,MATCH($A159&amp;"",'İşçilik Özet'!$A$6:$A$200,0))</f>
        <v>7.9124999999999996</v>
      </c>
      <c r="AG159" s="44">
        <f>INDEX('İşçilik Özet'!$Y$6:$Y$200,MATCH($A159&amp;"",'İşçilik Özet'!$A$6:$A$200,0))</f>
        <v>3.0019999999999998</v>
      </c>
      <c r="AH159" s="45">
        <f>(L159+P159)*F159+IF(E159="Kataforez",N(Q159)*F159,IF(E159="Yaş boya",ROUNDUP(F159/MAX(1,ROUND(IF(ISNUMBER(Q159),Q159,Parametreler!$B$11),0)),0)*Parametreler!$B$10,0))</f>
        <v>109.02263931373177</v>
      </c>
    </row>
    <row r="160" spans="1:34" ht="15" customHeight="1" x14ac:dyDescent="0.25">
      <c r="A160" s="30">
        <v>1280573</v>
      </c>
      <c r="B160" s="30" t="s">
        <v>288</v>
      </c>
      <c r="C160" s="30" t="s">
        <v>99</v>
      </c>
      <c r="D160" s="30" t="s">
        <v>23</v>
      </c>
      <c r="E160" s="30" t="s">
        <v>86</v>
      </c>
      <c r="F160" s="31">
        <v>5</v>
      </c>
      <c r="G160" s="32">
        <v>2.7519999999999998</v>
      </c>
      <c r="H160" s="33">
        <f>INDEX('Sac Özet'!$L$5:$L$199,MATCH($A160&amp;"",'Sac Özet'!$A$5:$A$199,0))</f>
        <v>3.4691919788865189</v>
      </c>
      <c r="I160" s="33">
        <f>INDEX('Sac Özet'!$M$5:$M$199,MATCH($A160&amp;"",'Sac Özet'!$A$5:$A$199,0))</f>
        <v>0.71721747888651888</v>
      </c>
      <c r="J160" s="34">
        <f>INDEX('Sac Özet'!$N$5:$N$199,MATCH($A160&amp;"",'Sac Özet'!$A$5:$A$199,0))</f>
        <v>2.5406278627463545</v>
      </c>
      <c r="K160" s="35">
        <f>SUMPRODUCT((--'Satınalma Parçaları'!$A$2:$A$107=--$A160)*'Satınalma Parçaları'!$L$2:$L$107)</f>
        <v>0</v>
      </c>
      <c r="L160" s="36">
        <f>J160+N(K160)</f>
        <v>2.5406278627463545</v>
      </c>
      <c r="M160" s="37">
        <f>AE160/100*Parametreler!$B$7</f>
        <v>1.081</v>
      </c>
      <c r="N160" s="37">
        <f>AF160/100*Parametreler!$B$8</f>
        <v>1.5825</v>
      </c>
      <c r="O160" s="37">
        <f>AG160/100*Parametreler!$B$9</f>
        <v>0.60039999999999993</v>
      </c>
      <c r="P160" s="36">
        <f>SUM(M160:O160)</f>
        <v>3.2639</v>
      </c>
      <c r="Q160" s="38">
        <f>VLOOKUP($A160,'Yaş Boya Listesi'!$B$6:$L$131,11,FALSE())</f>
        <v>10</v>
      </c>
      <c r="R160" s="37">
        <f>IF(E160="Kataforez",N(Q160),IF(E160="Yaş boya",Parametreler!$B$10/MAX(1,ROUND(IF(ISNUMBER(Q160),Q160,Parametreler!$B$11),0)),0))</f>
        <v>8</v>
      </c>
      <c r="S160" s="36">
        <f>L160+P160+R160</f>
        <v>13.804527862746355</v>
      </c>
      <c r="T160" s="39">
        <f>IF(S160=0,0,L160/S160)</f>
        <v>0.18404308267598418</v>
      </c>
      <c r="U160" s="39">
        <f>IF(S160=0,0,P160/S160)</f>
        <v>0.23643691638365533</v>
      </c>
      <c r="V160" s="39">
        <f>IF(S160=0,0,R160/S160)</f>
        <v>0.57952000094036049</v>
      </c>
      <c r="W160" s="40">
        <f>SUM(AE160:AG160)/100*F160</f>
        <v>0.81597499999999989</v>
      </c>
      <c r="X160" s="37">
        <f>IF($G160=0,0,J160/$G160)</f>
        <v>0.92319326407934399</v>
      </c>
      <c r="Y160" s="37">
        <f>IF($G160=0,0,S160/$G160)</f>
        <v>5.0161801826839953</v>
      </c>
      <c r="Z160" s="41">
        <f>IF($G160=0,0,L160/$G160)</f>
        <v>0.92319326407934399</v>
      </c>
      <c r="AA160" s="36">
        <f>S160*Parametreler!$B$12</f>
        <v>19.740474843727288</v>
      </c>
      <c r="AB160" s="42">
        <f>AA160*F160</f>
        <v>98.702374218636436</v>
      </c>
      <c r="AC160" s="43"/>
      <c r="AD160" s="30" t="s">
        <v>91</v>
      </c>
      <c r="AE160" s="44">
        <f>INDEX('İşçilik Özet'!$W$6:$W$200,MATCH($A160&amp;"",'İşçilik Özet'!$A$6:$A$200,0))</f>
        <v>5.4049999999999994</v>
      </c>
      <c r="AF160" s="44">
        <f>INDEX('İşçilik Özet'!$X$6:$X$200,MATCH($A160&amp;"",'İşçilik Özet'!$A$6:$A$200,0))</f>
        <v>7.9124999999999996</v>
      </c>
      <c r="AG160" s="44">
        <f>INDEX('İşçilik Özet'!$Y$6:$Y$200,MATCH($A160&amp;"",'İşçilik Özet'!$A$6:$A$200,0))</f>
        <v>3.0019999999999998</v>
      </c>
      <c r="AH160" s="45">
        <f>(L160+P160)*F160+IF(E160="Kataforez",N(Q160)*F160,IF(E160="Yaş boya",ROUNDUP(F160/MAX(1,ROUND(IF(ISNUMBER(Q160),Q160,Parametreler!$B$11),0)),0)*Parametreler!$B$10,0))</f>
        <v>109.02263931373177</v>
      </c>
    </row>
    <row r="161" spans="1:34" ht="15" customHeight="1" x14ac:dyDescent="0.25">
      <c r="A161" s="30">
        <v>602345</v>
      </c>
      <c r="B161" s="30" t="s">
        <v>361</v>
      </c>
      <c r="C161" s="30" t="s">
        <v>99</v>
      </c>
      <c r="D161" s="30" t="s">
        <v>85</v>
      </c>
      <c r="E161" s="30" t="s">
        <v>124</v>
      </c>
      <c r="F161" s="31">
        <v>5</v>
      </c>
      <c r="G161" s="32">
        <v>12.794</v>
      </c>
      <c r="H161" s="33">
        <f>INDEX('Sac Özet'!$L$5:$L$199,MATCH($A161&amp;"",'Sac Özet'!$A$5:$A$199,0))</f>
        <v>18.298349999999999</v>
      </c>
      <c r="I161" s="33">
        <f>INDEX('Sac Özet'!$M$5:$M$199,MATCH($A161&amp;"",'Sac Özet'!$A$5:$A$199,0))</f>
        <v>9.4071652500000003</v>
      </c>
      <c r="J161" s="34">
        <f>INDEX('Sac Özet'!$N$5:$N$199,MATCH($A161&amp;"",'Sac Özet'!$A$5:$A$199,0))</f>
        <v>11.559971372727272</v>
      </c>
      <c r="K161" s="35">
        <f>SUMPRODUCT((--'Satınalma Parçaları'!$A$2:$A$107=--$A161)*'Satınalma Parçaları'!$L$2:$L$107)</f>
        <v>0</v>
      </c>
      <c r="L161" s="36">
        <f>J161+N(K161)</f>
        <v>11.559971372727272</v>
      </c>
      <c r="M161" s="37">
        <f>AE161/100*Parametreler!$B$7</f>
        <v>0</v>
      </c>
      <c r="N161" s="37">
        <f>AF161/100*Parametreler!$B$8</f>
        <v>3.0824999999999996</v>
      </c>
      <c r="O161" s="37">
        <f>AG161/100*Parametreler!$B$9</f>
        <v>0</v>
      </c>
      <c r="P161" s="36">
        <f>SUM(M161:O161)</f>
        <v>3.0824999999999996</v>
      </c>
      <c r="Q161" s="47"/>
      <c r="R161" s="37">
        <f>IF(E161="Kataforez",N(Q161),IF(E161="Yaş boya",Parametreler!$B$10/MAX(1,ROUND(IF(ISNUMBER(Q161),Q161,Parametreler!$B$11),0)),0))</f>
        <v>0</v>
      </c>
      <c r="S161" s="36">
        <f>L161+P161+R161</f>
        <v>14.642471372727272</v>
      </c>
      <c r="T161" s="39">
        <f>IF(S161=0,0,L161/S161)</f>
        <v>0.7894822587298076</v>
      </c>
      <c r="U161" s="39">
        <f>IF(S161=0,0,P161/S161)</f>
        <v>0.21051774127019246</v>
      </c>
      <c r="V161" s="39">
        <f>IF(S161=0,0,R161/S161)</f>
        <v>0</v>
      </c>
      <c r="W161" s="40">
        <f>SUM(AE161:AG161)/100*F161</f>
        <v>0.77062499999999989</v>
      </c>
      <c r="X161" s="37">
        <f>IF($G161=0,0,J161/$G161)</f>
        <v>0.90354630082282883</v>
      </c>
      <c r="Y161" s="37">
        <f>IF($G161=0,0,S161/$G161)</f>
        <v>1.144479550783748</v>
      </c>
      <c r="Z161" s="41">
        <f>IF($G161=0,0,L161/$G161)</f>
        <v>0.90354630082282883</v>
      </c>
      <c r="AA161" s="36">
        <f>S161*Parametreler!$B$12</f>
        <v>20.938734062999998</v>
      </c>
      <c r="AB161" s="42">
        <f>AA161*F161</f>
        <v>104.69367031499999</v>
      </c>
      <c r="AC161" s="43" t="s">
        <v>271</v>
      </c>
      <c r="AD161" s="30" t="s">
        <v>101</v>
      </c>
      <c r="AE161" s="44">
        <f>INDEX('İşçilik Özet'!$W$6:$W$200,MATCH($A161&amp;"",'İşçilik Özet'!$A$6:$A$200,0))</f>
        <v>0</v>
      </c>
      <c r="AF161" s="44">
        <f>INDEX('İşçilik Özet'!$X$6:$X$200,MATCH($A161&amp;"",'İşçilik Özet'!$A$6:$A$200,0))</f>
        <v>15.4125</v>
      </c>
      <c r="AG161" s="44">
        <f>INDEX('İşçilik Özet'!$Y$6:$Y$200,MATCH($A161&amp;"",'İşçilik Özet'!$A$6:$A$200,0))</f>
        <v>0</v>
      </c>
      <c r="AH161" s="45">
        <f>(L161+P161)*F161+IF(E161="Kataforez",N(Q161)*F161,IF(E161="Yaş boya",ROUNDUP(F161/MAX(1,ROUND(IF(ISNUMBER(Q161),Q161,Parametreler!$B$11),0)),0)*Parametreler!$B$10,0))</f>
        <v>73.212356863636359</v>
      </c>
    </row>
    <row r="162" spans="1:34" ht="15" customHeight="1" x14ac:dyDescent="0.25">
      <c r="A162" s="30">
        <v>109920</v>
      </c>
      <c r="B162" s="30" t="s">
        <v>266</v>
      </c>
      <c r="C162" s="30" t="s">
        <v>93</v>
      </c>
      <c r="D162" s="30" t="s">
        <v>23</v>
      </c>
      <c r="E162" s="30" t="s">
        <v>86</v>
      </c>
      <c r="F162" s="31">
        <v>5</v>
      </c>
      <c r="G162" s="32">
        <v>1.968</v>
      </c>
      <c r="H162" s="33">
        <f>INDEX('Sac Özet'!$L$5:$L$199,MATCH($A162&amp;"",'Sac Özet'!$A$5:$A$199,0))</f>
        <v>1.6521359848836132</v>
      </c>
      <c r="I162" s="33">
        <f>INDEX('Sac Özet'!$M$5:$M$199,MATCH($A162&amp;"",'Sac Özet'!$A$5:$A$199,0))</f>
        <v>0.33310048488361299</v>
      </c>
      <c r="J162" s="34">
        <f>INDEX('Sac Özet'!$N$5:$N$199,MATCH($A162&amp;"",'Sac Özet'!$A$5:$A$199,0))</f>
        <v>1.2126940837631626</v>
      </c>
      <c r="K162" s="35">
        <f>SUMPRODUCT((--'Satınalma Parçaları'!$A$2:$A$107=--$A162)*'Satınalma Parçaları'!$L$2:$L$107)</f>
        <v>0</v>
      </c>
      <c r="L162" s="36">
        <f>J162+N(K162)</f>
        <v>1.2126940837631626</v>
      </c>
      <c r="M162" s="37">
        <f>AE162/100*Parametreler!$B$7</f>
        <v>1.081</v>
      </c>
      <c r="N162" s="37">
        <f>AF162/100*Parametreler!$B$8</f>
        <v>2.3325</v>
      </c>
      <c r="O162" s="37">
        <f>AG162/100*Parametreler!$B$9</f>
        <v>1.8462000000000001</v>
      </c>
      <c r="P162" s="36">
        <f>SUM(M162:O162)</f>
        <v>5.2597000000000005</v>
      </c>
      <c r="Q162" s="38">
        <f>VLOOKUP($A162,'Yaş Boya Listesi'!$B$6:$L$131,11,FALSE())</f>
        <v>15</v>
      </c>
      <c r="R162" s="37">
        <f>IF(E162="Kataforez",N(Q162),IF(E162="Yaş boya",Parametreler!$B$10/MAX(1,ROUND(IF(ISNUMBER(Q162),Q162,Parametreler!$B$11),0)),0))</f>
        <v>5.333333333333333</v>
      </c>
      <c r="S162" s="36">
        <f>L162+P162+R162</f>
        <v>11.805727417096495</v>
      </c>
      <c r="T162" s="39">
        <f>IF(S162=0,0,L162/S162)</f>
        <v>0.10272082701206504</v>
      </c>
      <c r="U162" s="39">
        <f>IF(S162=0,0,P162/S162)</f>
        <v>0.44552104365743295</v>
      </c>
      <c r="V162" s="39">
        <f>IF(S162=0,0,R162/S162)</f>
        <v>0.45175812933050208</v>
      </c>
      <c r="W162" s="40">
        <f>SUM(AE162:AG162)/100*F162</f>
        <v>1.3149249999999999</v>
      </c>
      <c r="X162" s="37">
        <f>IF($G162=0,0,J162/$G162)</f>
        <v>0.61620634337559077</v>
      </c>
      <c r="Y162" s="37">
        <f>IF($G162=0,0,S162/$G162)</f>
        <v>5.998845232264479</v>
      </c>
      <c r="Z162" s="41">
        <f>IF($G162=0,0,L162/$G162)</f>
        <v>0.61620634337559077</v>
      </c>
      <c r="AA162" s="36">
        <f>S162*Parametreler!$B$12</f>
        <v>16.882190206447987</v>
      </c>
      <c r="AB162" s="42">
        <f>AA162*F162</f>
        <v>84.410951032239936</v>
      </c>
      <c r="AC162" s="43" t="s">
        <v>267</v>
      </c>
      <c r="AD162" s="30" t="s">
        <v>96</v>
      </c>
      <c r="AE162" s="44">
        <f>INDEX('İşçilik Özet'!$W$6:$W$200,MATCH($A162&amp;"",'İşçilik Özet'!$A$6:$A$200,0))</f>
        <v>5.4049999999999994</v>
      </c>
      <c r="AF162" s="44">
        <f>INDEX('İşçilik Özet'!$X$6:$X$200,MATCH($A162&amp;"",'İşçilik Özet'!$A$6:$A$200,0))</f>
        <v>11.6625</v>
      </c>
      <c r="AG162" s="44">
        <f>INDEX('İşçilik Özet'!$Y$6:$Y$200,MATCH($A162&amp;"",'İşçilik Özet'!$A$6:$A$200,0))</f>
        <v>9.2309999999999999</v>
      </c>
      <c r="AH162" s="45">
        <f>(L162+P162)*F162+IF(E162="Kataforez",N(Q162)*F162,IF(E162="Yaş boya",ROUNDUP(F162/MAX(1,ROUND(IF(ISNUMBER(Q162),Q162,Parametreler!$B$11),0)),0)*Parametreler!$B$10,0))</f>
        <v>112.36197041881582</v>
      </c>
    </row>
    <row r="163" spans="1:34" ht="15" customHeight="1" x14ac:dyDescent="0.25">
      <c r="A163" s="30">
        <v>120828</v>
      </c>
      <c r="B163" s="30" t="s">
        <v>289</v>
      </c>
      <c r="C163" s="30" t="s">
        <v>119</v>
      </c>
      <c r="D163" s="30" t="s">
        <v>23</v>
      </c>
      <c r="E163" s="30" t="s">
        <v>86</v>
      </c>
      <c r="F163" s="31">
        <v>5</v>
      </c>
      <c r="G163" s="32">
        <v>3.9260000000000002</v>
      </c>
      <c r="H163" s="33">
        <f>INDEX('Sac Özet'!$L$5:$L$199,MATCH($A163&amp;"",'Sac Özet'!$A$5:$A$199,0))</f>
        <v>0.6414024390243902</v>
      </c>
      <c r="I163" s="33">
        <f>INDEX('Sac Özet'!$M$5:$M$199,MATCH($A163&amp;"",'Sac Özet'!$A$5:$A$199,0))</f>
        <v>0.11545243902439024</v>
      </c>
      <c r="J163" s="34">
        <f>INDEX('Sac Özet'!$N$5:$N$199,MATCH($A163&amp;"",'Sac Özet'!$A$5:$A$199,0))</f>
        <v>0.47533751662971174</v>
      </c>
      <c r="K163" s="35">
        <f>SUMPRODUCT((--'Satınalma Parçaları'!$A$2:$A$107=--$A163)*'Satınalma Parçaları'!$L$2:$L$107)</f>
        <v>0</v>
      </c>
      <c r="L163" s="36">
        <f>J163+N(K163)</f>
        <v>0.47533751662971174</v>
      </c>
      <c r="M163" s="37">
        <f>AE163/100*Parametreler!$B$7</f>
        <v>0</v>
      </c>
      <c r="N163" s="37">
        <f>AF163/100*Parametreler!$B$8</f>
        <v>2.0825</v>
      </c>
      <c r="O163" s="37">
        <f>AG163/100*Parametreler!$B$9</f>
        <v>1.02</v>
      </c>
      <c r="P163" s="36">
        <f>SUM(M163:O163)</f>
        <v>3.1025</v>
      </c>
      <c r="Q163" s="38">
        <f>VLOOKUP($A163,'Yaş Boya Listesi'!$B$6:$L$131,11,FALSE())</f>
        <v>10</v>
      </c>
      <c r="R163" s="37">
        <f>IF(E163="Kataforez",N(Q163),IF(E163="Yaş boya",Parametreler!$B$10/MAX(1,ROUND(IF(ISNUMBER(Q163),Q163,Parametreler!$B$11),0)),0))</f>
        <v>8</v>
      </c>
      <c r="S163" s="36">
        <f>L163+P163+R163</f>
        <v>11.577837516629712</v>
      </c>
      <c r="T163" s="39">
        <f>IF(S163=0,0,L163/S163)</f>
        <v>4.1055811670095164E-2</v>
      </c>
      <c r="U163" s="39">
        <f>IF(S163=0,0,P163/S163)</f>
        <v>0.26796886685823279</v>
      </c>
      <c r="V163" s="39">
        <f>IF(S163=0,0,R163/S163)</f>
        <v>0.69097532147167195</v>
      </c>
      <c r="W163" s="40">
        <f>SUM(AE163:AG163)/100*F163</f>
        <v>0.7756249999999999</v>
      </c>
      <c r="X163" s="37">
        <f>IF($G163=0,0,J163/$G163)</f>
        <v>0.12107425283487308</v>
      </c>
      <c r="Y163" s="37">
        <f>IF($G163=0,0,S163/$G163)</f>
        <v>2.9490161784589177</v>
      </c>
      <c r="Z163" s="41">
        <f>IF($G163=0,0,L163/$G163)</f>
        <v>0.12107425283487308</v>
      </c>
      <c r="AA163" s="36">
        <f>S163*Parametreler!$B$12</f>
        <v>16.556307648780489</v>
      </c>
      <c r="AB163" s="42">
        <f>AA163*F163</f>
        <v>82.781538243902446</v>
      </c>
      <c r="AC163" s="43" t="s">
        <v>290</v>
      </c>
      <c r="AD163" s="30" t="s">
        <v>96</v>
      </c>
      <c r="AE163" s="44">
        <f>INDEX('İşçilik Özet'!$W$6:$W$200,MATCH($A163&amp;"",'İşçilik Özet'!$A$6:$A$200,0))</f>
        <v>0</v>
      </c>
      <c r="AF163" s="44">
        <f>INDEX('İşçilik Özet'!$X$6:$X$200,MATCH($A163&amp;"",'İşçilik Özet'!$A$6:$A$200,0))</f>
        <v>10.4125</v>
      </c>
      <c r="AG163" s="44">
        <f>INDEX('İşçilik Özet'!$Y$6:$Y$200,MATCH($A163&amp;"",'İşçilik Özet'!$A$6:$A$200,0))</f>
        <v>5.0999999999999996</v>
      </c>
      <c r="AH163" s="45">
        <f>(L163+P163)*F163+IF(E163="Kataforez",N(Q163)*F163,IF(E163="Yaş boya",ROUNDUP(F163/MAX(1,ROUND(IF(ISNUMBER(Q163),Q163,Parametreler!$B$11),0)),0)*Parametreler!$B$10,0))</f>
        <v>97.889187583148555</v>
      </c>
    </row>
    <row r="164" spans="1:34" ht="15" customHeight="1" x14ac:dyDescent="0.25">
      <c r="A164" s="30">
        <v>1225785</v>
      </c>
      <c r="B164" s="30" t="s">
        <v>350</v>
      </c>
      <c r="C164" s="30" t="s">
        <v>194</v>
      </c>
      <c r="D164" s="30" t="s">
        <v>23</v>
      </c>
      <c r="E164" s="30" t="s">
        <v>124</v>
      </c>
      <c r="F164" s="31">
        <v>10</v>
      </c>
      <c r="G164" s="32">
        <v>2.766</v>
      </c>
      <c r="H164" s="33">
        <f>INDEX('Sac Özet'!$L$5:$L$199,MATCH($A164&amp;"",'Sac Özet'!$A$5:$A$199,0))</f>
        <v>3.3731737195121942</v>
      </c>
      <c r="I164" s="33">
        <f>INDEX('Sac Özet'!$M$5:$M$199,MATCH($A164&amp;"",'Sac Özet'!$A$5:$A$199,0))</f>
        <v>0.60717126951219458</v>
      </c>
      <c r="J164" s="34">
        <f>INDEX('Sac Özet'!$N$5:$N$199,MATCH($A164&amp;"",'Sac Özet'!$A$5:$A$199,0))</f>
        <v>2.4998283783148558</v>
      </c>
      <c r="K164" s="35">
        <f>SUMPRODUCT((--'Satınalma Parçaları'!$A$2:$A$107=--$A164)*'Satınalma Parçaları'!$L$2:$L$107)</f>
        <v>0</v>
      </c>
      <c r="L164" s="36">
        <f>J164+N(K164)</f>
        <v>2.4998283783148558</v>
      </c>
      <c r="M164" s="37">
        <f>AE164/100*Parametreler!$B$7</f>
        <v>0</v>
      </c>
      <c r="N164" s="37">
        <f>AF164/100*Parametreler!$B$8</f>
        <v>2.5824999999999996</v>
      </c>
      <c r="O164" s="37">
        <f>AG164/100*Parametreler!$B$9</f>
        <v>0.7679999999999999</v>
      </c>
      <c r="P164" s="36">
        <f>SUM(M164:O164)</f>
        <v>3.3504999999999994</v>
      </c>
      <c r="Q164" s="47"/>
      <c r="R164" s="37">
        <f>IF(E164="Kataforez",N(Q164),IF(E164="Yaş boya",Parametreler!$B$10/MAX(1,ROUND(IF(ISNUMBER(Q164),Q164,Parametreler!$B$11),0)),0))</f>
        <v>0</v>
      </c>
      <c r="S164" s="36">
        <f>L164+P164+R164</f>
        <v>5.8503283783148552</v>
      </c>
      <c r="T164" s="39">
        <f>IF(S164=0,0,L164/S164)</f>
        <v>0.42729710482250116</v>
      </c>
      <c r="U164" s="39">
        <f>IF(S164=0,0,P164/S164)</f>
        <v>0.57270289517749884</v>
      </c>
      <c r="V164" s="39">
        <f>IF(S164=0,0,R164/S164)</f>
        <v>0</v>
      </c>
      <c r="W164" s="40">
        <f>SUM(AE164:AG164)/100*F164</f>
        <v>1.6752499999999997</v>
      </c>
      <c r="X164" s="37">
        <f>IF($G164=0,0,J164/$G164)</f>
        <v>0.90377020184918866</v>
      </c>
      <c r="Y164" s="37">
        <f>IF($G164=0,0,S164/$G164)</f>
        <v>2.1150861816033459</v>
      </c>
      <c r="Z164" s="41">
        <f>IF($G164=0,0,L164/$G164)</f>
        <v>0.90377020184918866</v>
      </c>
      <c r="AA164" s="36">
        <f>S164*Parametreler!$B$12</f>
        <v>8.3659695809902423</v>
      </c>
      <c r="AB164" s="42">
        <f>AA164*F164</f>
        <v>83.659695809902416</v>
      </c>
      <c r="AC164" s="43"/>
      <c r="AD164" s="30" t="s">
        <v>91</v>
      </c>
      <c r="AE164" s="44">
        <f>INDEX('İşçilik Özet'!$W$6:$W$200,MATCH($A164&amp;"",'İşçilik Özet'!$A$6:$A$200,0))</f>
        <v>0</v>
      </c>
      <c r="AF164" s="44">
        <f>INDEX('İşçilik Özet'!$X$6:$X$200,MATCH($A164&amp;"",'İşçilik Özet'!$A$6:$A$200,0))</f>
        <v>12.9125</v>
      </c>
      <c r="AG164" s="44">
        <f>INDEX('İşçilik Özet'!$Y$6:$Y$200,MATCH($A164&amp;"",'İşçilik Özet'!$A$6:$A$200,0))</f>
        <v>3.84</v>
      </c>
      <c r="AH164" s="45">
        <f>(L164+P164)*F164+IF(E164="Kataforez",N(Q164)*F164,IF(E164="Yaş boya",ROUNDUP(F164/MAX(1,ROUND(IF(ISNUMBER(Q164),Q164,Parametreler!$B$11),0)),0)*Parametreler!$B$10,0))</f>
        <v>58.503283783148554</v>
      </c>
    </row>
    <row r="165" spans="1:34" ht="15" customHeight="1" x14ac:dyDescent="0.25">
      <c r="A165" s="30">
        <v>103096</v>
      </c>
      <c r="B165" s="30" t="s">
        <v>283</v>
      </c>
      <c r="C165" s="30" t="s">
        <v>107</v>
      </c>
      <c r="D165" s="30" t="s">
        <v>23</v>
      </c>
      <c r="E165" s="30" t="s">
        <v>86</v>
      </c>
      <c r="F165" s="31">
        <v>3</v>
      </c>
      <c r="G165" s="32">
        <v>5.0419999999999998</v>
      </c>
      <c r="H165" s="33">
        <f>INDEX('Sac Özet'!$L$5:$L$199,MATCH($A165&amp;"",'Sac Özet'!$A$5:$A$199,0))</f>
        <v>6.3621440656589066</v>
      </c>
      <c r="I165" s="33">
        <f>INDEX('Sac Özet'!$M$5:$M$199,MATCH($A165&amp;"",'Sac Özet'!$A$5:$A$199,0))</f>
        <v>1.320183265658907</v>
      </c>
      <c r="J165" s="34">
        <f>INDEX('Sac Özet'!$N$5:$N$199,MATCH($A165&amp;"",'Sac Özet'!$A$5:$A$199,0))</f>
        <v>4.6576552746751192</v>
      </c>
      <c r="K165" s="35">
        <f>SUMPRODUCT((--'Satınalma Parçaları'!$A$2:$A$107=--$A165)*'Satınalma Parçaları'!$L$2:$L$107)</f>
        <v>0</v>
      </c>
      <c r="L165" s="36">
        <f>J165+N(K165)</f>
        <v>4.6576552746751192</v>
      </c>
      <c r="M165" s="37">
        <f>AE165/100*Parametreler!$B$7</f>
        <v>1.081</v>
      </c>
      <c r="N165" s="37">
        <f>AF165/100*Parametreler!$B$8</f>
        <v>2.5824999999999996</v>
      </c>
      <c r="O165" s="37">
        <f>AG165/100*Parametreler!$B$9</f>
        <v>2.2880000000000003</v>
      </c>
      <c r="P165" s="36">
        <f>SUM(M165:O165)</f>
        <v>5.9514999999999993</v>
      </c>
      <c r="Q165" s="38">
        <f>VLOOKUP($A165,'Yaş Boya Listesi'!$B$6:$L$131,11,FALSE())</f>
        <v>10</v>
      </c>
      <c r="R165" s="37">
        <f>IF(E165="Kataforez",N(Q165),IF(E165="Yaş boya",Parametreler!$B$10/MAX(1,ROUND(IF(ISNUMBER(Q165),Q165,Parametreler!$B$11),0)),0))</f>
        <v>8</v>
      </c>
      <c r="S165" s="36">
        <f>L165+P165+R165</f>
        <v>18.609155274675118</v>
      </c>
      <c r="T165" s="39">
        <f>IF(S165=0,0,L165/S165)</f>
        <v>0.25028837719537128</v>
      </c>
      <c r="U165" s="39">
        <f>IF(S165=0,0,P165/S165)</f>
        <v>0.31981569889415101</v>
      </c>
      <c r="V165" s="39">
        <f>IF(S165=0,0,R165/S165)</f>
        <v>0.42989592391047776</v>
      </c>
      <c r="W165" s="40">
        <f>SUM(AE165:AG165)/100*F165</f>
        <v>0.89272499999999999</v>
      </c>
      <c r="X165" s="37">
        <f>IF($G165=0,0,J165/$G165)</f>
        <v>0.92377137538181664</v>
      </c>
      <c r="Y165" s="37">
        <f>IF($G165=0,0,S165/$G165)</f>
        <v>3.6908280989042281</v>
      </c>
      <c r="Z165" s="41">
        <f>IF($G165=0,0,L165/$G165)</f>
        <v>0.92377137538181664</v>
      </c>
      <c r="AA165" s="36">
        <f>S165*Parametreler!$B$12</f>
        <v>26.611092042785415</v>
      </c>
      <c r="AB165" s="42">
        <f>AA165*F165</f>
        <v>79.833276128356246</v>
      </c>
      <c r="AC165" s="43"/>
      <c r="AD165" s="30" t="s">
        <v>91</v>
      </c>
      <c r="AE165" s="44">
        <f>INDEX('İşçilik Özet'!$W$6:$W$200,MATCH($A165&amp;"",'İşçilik Özet'!$A$6:$A$200,0))</f>
        <v>5.4049999999999994</v>
      </c>
      <c r="AF165" s="44">
        <f>INDEX('İşçilik Özet'!$X$6:$X$200,MATCH($A165&amp;"",'İşçilik Özet'!$A$6:$A$200,0))</f>
        <v>12.9125</v>
      </c>
      <c r="AG165" s="44">
        <f>INDEX('İşçilik Özet'!$Y$6:$Y$200,MATCH($A165&amp;"",'İşçilik Özet'!$A$6:$A$200,0))</f>
        <v>11.440000000000001</v>
      </c>
      <c r="AH165" s="45">
        <f>(L165+P165)*F165+IF(E165="Kataforez",N(Q165)*F165,IF(E165="Yaş boya",ROUNDUP(F165/MAX(1,ROUND(IF(ISNUMBER(Q165),Q165,Parametreler!$B$11),0)),0)*Parametreler!$B$10,0))</f>
        <v>111.82746582402535</v>
      </c>
    </row>
    <row r="166" spans="1:34" ht="15" customHeight="1" x14ac:dyDescent="0.25">
      <c r="A166" s="30">
        <v>1239851</v>
      </c>
      <c r="B166" s="30" t="s">
        <v>274</v>
      </c>
      <c r="C166" s="30" t="s">
        <v>107</v>
      </c>
      <c r="D166" s="30" t="s">
        <v>23</v>
      </c>
      <c r="E166" s="30" t="s">
        <v>86</v>
      </c>
      <c r="F166" s="31">
        <v>3</v>
      </c>
      <c r="G166" s="32">
        <v>3.4350000000000001</v>
      </c>
      <c r="H166" s="33">
        <f>INDEX('Sac Özet'!$L$5:$L$199,MATCH($A166&amp;"",'Sac Özet'!$A$5:$A$199,0))</f>
        <v>4.2662206254443724</v>
      </c>
      <c r="I166" s="33">
        <f>INDEX('Sac Özet'!$M$5:$M$199,MATCH($A166&amp;"",'Sac Özet'!$A$5:$A$199,0))</f>
        <v>0.83117837544437223</v>
      </c>
      <c r="J166" s="34">
        <f>INDEX('Sac Özet'!$N$5:$N$199,MATCH($A166&amp;"",'Sac Özet'!$A$5:$A$199,0))</f>
        <v>3.1409544865737034</v>
      </c>
      <c r="K166" s="35">
        <f>SUMPRODUCT((--'Satınalma Parçaları'!$A$2:$A$107=--$A166)*'Satınalma Parçaları'!$L$2:$L$107)</f>
        <v>0</v>
      </c>
      <c r="L166" s="36">
        <f>J166+N(K166)</f>
        <v>3.1409544865737034</v>
      </c>
      <c r="M166" s="37">
        <f>AE166/100*Parametreler!$B$7</f>
        <v>2.6219999999999999</v>
      </c>
      <c r="N166" s="37">
        <f>AF166/100*Parametreler!$B$8</f>
        <v>3.0824999999999996</v>
      </c>
      <c r="O166" s="37">
        <f>AG166/100*Parametreler!$B$9</f>
        <v>1.5</v>
      </c>
      <c r="P166" s="36">
        <f>SUM(M166:O166)</f>
        <v>7.2044999999999995</v>
      </c>
      <c r="Q166" s="38">
        <f>VLOOKUP($A166,'Yaş Boya Listesi'!$B$6:$L$131,11,FALSE())</f>
        <v>10</v>
      </c>
      <c r="R166" s="37">
        <f>IF(E166="Kataforez",N(Q166),IF(E166="Yaş boya",Parametreler!$B$10/MAX(1,ROUND(IF(ISNUMBER(Q166),Q166,Parametreler!$B$11),0)),0))</f>
        <v>8</v>
      </c>
      <c r="S166" s="36">
        <f>L166+P166+R166</f>
        <v>18.345454486573701</v>
      </c>
      <c r="T166" s="39">
        <f>IF(S166=0,0,L166/S166)</f>
        <v>0.17121159297920047</v>
      </c>
      <c r="U166" s="39">
        <f>IF(S166=0,0,P166/S166)</f>
        <v>0.39271308352009937</v>
      </c>
      <c r="V166" s="39">
        <f>IF(S166=0,0,R166/S166)</f>
        <v>0.43607532350070027</v>
      </c>
      <c r="W166" s="40">
        <f>SUM(AE166:AG166)/100*F166</f>
        <v>1.0806750000000001</v>
      </c>
      <c r="X166" s="37">
        <f>IF($G166=0,0,J166/$G166)</f>
        <v>0.91439723044358179</v>
      </c>
      <c r="Y166" s="37">
        <f>IF($G166=0,0,S166/$G166)</f>
        <v>5.340743664213595</v>
      </c>
      <c r="Z166" s="41">
        <f>IF($G166=0,0,L166/$G166)</f>
        <v>0.91439723044358179</v>
      </c>
      <c r="AA166" s="36">
        <f>S166*Parametreler!$B$12</f>
        <v>26.233999915800389</v>
      </c>
      <c r="AB166" s="42">
        <f>AA166*F166</f>
        <v>78.701999747401175</v>
      </c>
      <c r="AC166" s="43"/>
      <c r="AD166" s="30" t="s">
        <v>91</v>
      </c>
      <c r="AE166" s="44">
        <f>INDEX('İşçilik Özet'!$W$6:$W$200,MATCH($A166&amp;"",'İşçilik Özet'!$A$6:$A$200,0))</f>
        <v>13.11</v>
      </c>
      <c r="AF166" s="44">
        <f>INDEX('İşçilik Özet'!$X$6:$X$200,MATCH($A166&amp;"",'İşçilik Özet'!$A$6:$A$200,0))</f>
        <v>15.4125</v>
      </c>
      <c r="AG166" s="44">
        <f>INDEX('İşçilik Özet'!$Y$6:$Y$200,MATCH($A166&amp;"",'İşçilik Özet'!$A$6:$A$200,0))</f>
        <v>7.5</v>
      </c>
      <c r="AH166" s="45">
        <f>(L166+P166)*F166+IF(E166="Kataforez",N(Q166)*F166,IF(E166="Yaş boya",ROUNDUP(F166/MAX(1,ROUND(IF(ISNUMBER(Q166),Q166,Parametreler!$B$11),0)),0)*Parametreler!$B$10,0))</f>
        <v>111.03636345972112</v>
      </c>
    </row>
    <row r="167" spans="1:34" ht="15" customHeight="1" x14ac:dyDescent="0.25">
      <c r="A167" s="30">
        <v>435620</v>
      </c>
      <c r="B167" s="30" t="s">
        <v>286</v>
      </c>
      <c r="C167" s="30" t="s">
        <v>119</v>
      </c>
      <c r="D167" s="30" t="s">
        <v>85</v>
      </c>
      <c r="E167" s="30" t="s">
        <v>86</v>
      </c>
      <c r="F167" s="31">
        <v>1</v>
      </c>
      <c r="G167" s="32">
        <v>19.655000000000001</v>
      </c>
      <c r="H167" s="33">
        <f>INDEX('Sac Özet'!$L$5:$L$199,MATCH($A167&amp;"",'Sac Özet'!$A$5:$A$199,0))</f>
        <v>25.788945599999998</v>
      </c>
      <c r="I167" s="33">
        <f>INDEX('Sac Özet'!$M$5:$M$199,MATCH($A167&amp;"",'Sac Özet'!$A$5:$A$199,0))</f>
        <v>6.1185254999999987</v>
      </c>
      <c r="J167" s="34">
        <f>INDEX('Sac Özet'!$N$5:$N$199,MATCH($A167&amp;"",'Sac Özet'!$A$5:$A$199,0))</f>
        <v>18.628729952727273</v>
      </c>
      <c r="K167" s="35">
        <f>SUMPRODUCT((--'Satınalma Parçaları'!$A$2:$A$107=--$A167)*'Satınalma Parçaları'!$L$2:$L$107)</f>
        <v>0</v>
      </c>
      <c r="L167" s="36">
        <f>J167+N(K167)</f>
        <v>18.628729952727273</v>
      </c>
      <c r="M167" s="37">
        <f>AE167/100*Parametreler!$B$7</f>
        <v>3.5419999999999998</v>
      </c>
      <c r="N167" s="37">
        <f>AF167/100*Parametreler!$B$8</f>
        <v>5.3324999999999996</v>
      </c>
      <c r="O167" s="37">
        <f>AG167/100*Parametreler!$B$9</f>
        <v>8.3415999999999997</v>
      </c>
      <c r="P167" s="36">
        <f>SUM(M167:O167)</f>
        <v>17.216099999999997</v>
      </c>
      <c r="Q167" s="38">
        <f>VLOOKUP($A167,'Yaş Boya Listesi'!$B$6:$L$131,11,FALSE())</f>
        <v>4</v>
      </c>
      <c r="R167" s="37">
        <f>IF(E167="Kataforez",N(Q167),IF(E167="Yaş boya",Parametreler!$B$10/MAX(1,ROUND(IF(ISNUMBER(Q167),Q167,Parametreler!$B$11),0)),0))</f>
        <v>20</v>
      </c>
      <c r="S167" s="36">
        <f>L167+P167+R167</f>
        <v>55.844829952727267</v>
      </c>
      <c r="T167" s="39">
        <f>IF(S167=0,0,L167/S167)</f>
        <v>0.33358020730829552</v>
      </c>
      <c r="U167" s="39">
        <f>IF(S167=0,0,P167/S167)</f>
        <v>0.30828458094640904</v>
      </c>
      <c r="V167" s="39">
        <f>IF(S167=0,0,R167/S167)</f>
        <v>0.3581352117452955</v>
      </c>
      <c r="W167" s="40">
        <f>SUM(AE167:AG167)/100*F167</f>
        <v>0.86080500000000004</v>
      </c>
      <c r="X167" s="37">
        <f>IF($G167=0,0,J167/$G167)</f>
        <v>0.94778580273351676</v>
      </c>
      <c r="Y167" s="37">
        <f>IF($G167=0,0,S167/$G167)</f>
        <v>2.8412531138502803</v>
      </c>
      <c r="Z167" s="41">
        <f>IF($G167=0,0,L167/$G167)</f>
        <v>0.94778580273351676</v>
      </c>
      <c r="AA167" s="36">
        <f>S167*Parametreler!$B$12</f>
        <v>79.858106832399983</v>
      </c>
      <c r="AB167" s="42">
        <f>AA167*F167</f>
        <v>79.858106832399983</v>
      </c>
      <c r="AC167" s="43"/>
      <c r="AD167" s="30"/>
      <c r="AE167" s="44">
        <f>INDEX('İşçilik Özet'!$W$6:$W$200,MATCH($A167&amp;"",'İşçilik Özet'!$A$6:$A$200,0))</f>
        <v>17.709999999999997</v>
      </c>
      <c r="AF167" s="44">
        <f>INDEX('İşçilik Özet'!$X$6:$X$200,MATCH($A167&amp;"",'İşçilik Özet'!$A$6:$A$200,0))</f>
        <v>26.662499999999998</v>
      </c>
      <c r="AG167" s="44">
        <f>INDEX('İşçilik Özet'!$Y$6:$Y$200,MATCH($A167&amp;"",'İşçilik Özet'!$A$6:$A$200,0))</f>
        <v>41.707999999999998</v>
      </c>
      <c r="AH167" s="45">
        <f>(L167+P167)*F167+IF(E167="Kataforez",N(Q167)*F167,IF(E167="Yaş boya",ROUNDUP(F167/MAX(1,ROUND(IF(ISNUMBER(Q167),Q167,Parametreler!$B$11),0)),0)*Parametreler!$B$10,0))</f>
        <v>115.84482995272727</v>
      </c>
    </row>
    <row r="168" spans="1:34" ht="15" customHeight="1" x14ac:dyDescent="0.25">
      <c r="A168" s="30">
        <v>480050</v>
      </c>
      <c r="B168" s="30" t="s">
        <v>349</v>
      </c>
      <c r="C168" s="30" t="s">
        <v>107</v>
      </c>
      <c r="D168" s="30" t="s">
        <v>23</v>
      </c>
      <c r="E168" s="30" t="s">
        <v>124</v>
      </c>
      <c r="F168" s="31">
        <v>15</v>
      </c>
      <c r="G168" s="32">
        <v>1.1479999999999999</v>
      </c>
      <c r="H168" s="33">
        <f>INDEX('Sac Özet'!$L$5:$L$199,MATCH($A168&amp;"",'Sac Özet'!$A$5:$A$199,0))</f>
        <v>1.4000570731707316</v>
      </c>
      <c r="I168" s="33">
        <f>INDEX('Sac Özet'!$M$5:$M$199,MATCH($A168&amp;"",'Sac Özet'!$A$5:$A$199,0))</f>
        <v>0.25201027317073166</v>
      </c>
      <c r="J168" s="34">
        <f>INDEX('Sac Özet'!$N$5:$N$199,MATCH($A168&amp;"",'Sac Özet'!$A$5:$A$199,0))</f>
        <v>1.0375695691352549</v>
      </c>
      <c r="K168" s="35">
        <f>SUMPRODUCT((--'Satınalma Parçaları'!$A$2:$A$107=--$A168)*'Satınalma Parçaları'!$L$2:$L$107)</f>
        <v>0</v>
      </c>
      <c r="L168" s="36">
        <f>J168+N(K168)</f>
        <v>1.0375695691352549</v>
      </c>
      <c r="M168" s="37">
        <f>AE168/100*Parametreler!$B$7</f>
        <v>0</v>
      </c>
      <c r="N168" s="37">
        <f>AF168/100*Parametreler!$B$8</f>
        <v>1.8325</v>
      </c>
      <c r="O168" s="37">
        <f>AG168/100*Parametreler!$B$9</f>
        <v>0.55399999999999994</v>
      </c>
      <c r="P168" s="36">
        <f>SUM(M168:O168)</f>
        <v>2.3864999999999998</v>
      </c>
      <c r="Q168" s="47"/>
      <c r="R168" s="37">
        <f>IF(E168="Kataforez",N(Q168),IF(E168="Yaş boya",Parametreler!$B$10/MAX(1,ROUND(IF(ISNUMBER(Q168),Q168,Parametreler!$B$11),0)),0))</f>
        <v>0</v>
      </c>
      <c r="S168" s="36">
        <f>L168+P168+R168</f>
        <v>3.4240695691352547</v>
      </c>
      <c r="T168" s="39">
        <f>IF(S168=0,0,L168/S168)</f>
        <v>0.30302233882394275</v>
      </c>
      <c r="U168" s="39">
        <f>IF(S168=0,0,P168/S168)</f>
        <v>0.69697766117605719</v>
      </c>
      <c r="V168" s="39">
        <f>IF(S168=0,0,R168/S168)</f>
        <v>0</v>
      </c>
      <c r="W168" s="40">
        <f>SUM(AE168:AG168)/100*F168</f>
        <v>1.7898749999999999</v>
      </c>
      <c r="X168" s="37">
        <f>IF($G168=0,0,J168/$G168)</f>
        <v>0.9038062448913371</v>
      </c>
      <c r="Y168" s="37">
        <f>IF($G168=0,0,S168/$G168)</f>
        <v>2.9826389975045777</v>
      </c>
      <c r="Z168" s="41">
        <f>IF($G168=0,0,L168/$G168)</f>
        <v>0.9038062448913371</v>
      </c>
      <c r="AA168" s="36">
        <f>S168*Parametreler!$B$12</f>
        <v>4.8964194838634141</v>
      </c>
      <c r="AB168" s="42">
        <f>AA168*F168</f>
        <v>73.446292257951214</v>
      </c>
      <c r="AC168" s="43"/>
      <c r="AD168" s="30" t="s">
        <v>91</v>
      </c>
      <c r="AE168" s="44">
        <f>INDEX('İşçilik Özet'!$W$6:$W$200,MATCH($A168&amp;"",'İşçilik Özet'!$A$6:$A$200,0))</f>
        <v>0</v>
      </c>
      <c r="AF168" s="44">
        <f>INDEX('İşçilik Özet'!$X$6:$X$200,MATCH($A168&amp;"",'İşçilik Özet'!$A$6:$A$200,0))</f>
        <v>9.1624999999999996</v>
      </c>
      <c r="AG168" s="44">
        <f>INDEX('İşçilik Özet'!$Y$6:$Y$200,MATCH($A168&amp;"",'İşçilik Özet'!$A$6:$A$200,0))</f>
        <v>2.77</v>
      </c>
      <c r="AH168" s="45">
        <f>(L168+P168)*F168+IF(E168="Kataforez",N(Q168)*F168,IF(E168="Yaş boya",ROUNDUP(F168/MAX(1,ROUND(IF(ISNUMBER(Q168),Q168,Parametreler!$B$11),0)),0)*Parametreler!$B$10,0))</f>
        <v>51.36104353702882</v>
      </c>
    </row>
    <row r="169" spans="1:34" ht="15" customHeight="1" x14ac:dyDescent="0.25">
      <c r="A169" s="30">
        <v>241377</v>
      </c>
      <c r="B169" s="30" t="s">
        <v>291</v>
      </c>
      <c r="C169" s="30" t="s">
        <v>117</v>
      </c>
      <c r="D169" s="30" t="s">
        <v>23</v>
      </c>
      <c r="E169" s="30" t="s">
        <v>86</v>
      </c>
      <c r="F169" s="31">
        <v>1</v>
      </c>
      <c r="G169" s="32">
        <v>2.6280000000000001</v>
      </c>
      <c r="H169" s="33">
        <f>INDEX('Sac Özet'!$L$5:$L$199,MATCH($A169&amp;"",'Sac Özet'!$A$5:$A$199,0))</f>
        <v>0.81950170731707306</v>
      </c>
      <c r="I169" s="33">
        <f>INDEX('Sac Özet'!$M$5:$M$199,MATCH($A169&amp;"",'Sac Özet'!$A$5:$A$199,0))</f>
        <v>0.14751030731707307</v>
      </c>
      <c r="J169" s="34">
        <f>INDEX('Sac Özet'!$N$5:$N$199,MATCH($A169&amp;"",'Sac Özet'!$A$5:$A$199,0))</f>
        <v>0.6073252652771618</v>
      </c>
      <c r="K169" s="35">
        <f>SUMPRODUCT((--'Satınalma Parçaları'!$A$2:$A$107=--$A169)*'Satınalma Parçaları'!$L$2:$L$107)</f>
        <v>4.96</v>
      </c>
      <c r="L169" s="36">
        <f>J169+N(K169)</f>
        <v>5.5673252652771614</v>
      </c>
      <c r="M169" s="37">
        <f>AE169/100*Parametreler!$B$7</f>
        <v>6.0949999999999989</v>
      </c>
      <c r="N169" s="37">
        <f>AF169/100*Parametreler!$B$8</f>
        <v>5.3324999999999996</v>
      </c>
      <c r="O169" s="37">
        <f>AG169/100*Parametreler!$B$9</f>
        <v>2.82</v>
      </c>
      <c r="P169" s="36">
        <f>SUM(M169:O169)</f>
        <v>14.247499999999999</v>
      </c>
      <c r="Q169" s="38">
        <f>VLOOKUP($A169,'Yaş Boya Listesi'!$B$6:$L$131,11,FALSE())</f>
        <v>3</v>
      </c>
      <c r="R169" s="37">
        <f>IF(E169="Kataforez",N(Q169),IF(E169="Yaş boya",Parametreler!$B$10/MAX(1,ROUND(IF(ISNUMBER(Q169),Q169,Parametreler!$B$11),0)),0))</f>
        <v>26.666666666666668</v>
      </c>
      <c r="S169" s="36">
        <f>L169+P169+R169</f>
        <v>46.481491931943829</v>
      </c>
      <c r="T169" s="39">
        <f>IF(S169=0,0,L169/S169)</f>
        <v>0.11977509829995552</v>
      </c>
      <c r="U169" s="39">
        <f>IF(S169=0,0,P169/S169)</f>
        <v>0.30651985140366333</v>
      </c>
      <c r="V169" s="39">
        <f>IF(S169=0,0,R169/S169)</f>
        <v>0.57370505029638108</v>
      </c>
      <c r="W169" s="40">
        <f>SUM(AE169:AG169)/100*F169</f>
        <v>0.71237499999999987</v>
      </c>
      <c r="X169" s="37">
        <f>IF($G169=0,0,J169/$G169)</f>
        <v>0.23109789394108135</v>
      </c>
      <c r="Y169" s="37">
        <f>IF($G169=0,0,S169/$G169)</f>
        <v>17.687021283083649</v>
      </c>
      <c r="Z169" s="41">
        <f>IF($G169=0,0,L169/$G169)</f>
        <v>2.1184647128147494</v>
      </c>
      <c r="AA169" s="36">
        <f>S169*Parametreler!$B$12</f>
        <v>66.468533462679673</v>
      </c>
      <c r="AB169" s="42">
        <f>AA169*F169</f>
        <v>66.468533462679673</v>
      </c>
      <c r="AC169" s="43" t="s">
        <v>292</v>
      </c>
      <c r="AD169" s="30" t="s">
        <v>132</v>
      </c>
      <c r="AE169" s="44">
        <f>INDEX('İşçilik Özet'!$W$6:$W$200,MATCH($A169&amp;"",'İşçilik Özet'!$A$6:$A$200,0))</f>
        <v>30.474999999999994</v>
      </c>
      <c r="AF169" s="44">
        <f>INDEX('İşçilik Özet'!$X$6:$X$200,MATCH($A169&amp;"",'İşçilik Özet'!$A$6:$A$200,0))</f>
        <v>26.662499999999998</v>
      </c>
      <c r="AG169" s="44">
        <f>INDEX('İşçilik Özet'!$Y$6:$Y$200,MATCH($A169&amp;"",'İşçilik Özet'!$A$6:$A$200,0))</f>
        <v>14.1</v>
      </c>
      <c r="AH169" s="45">
        <f>(L169+P169)*F169+IF(E169="Kataforez",N(Q169)*F169,IF(E169="Yaş boya",ROUNDUP(F169/MAX(1,ROUND(IF(ISNUMBER(Q169),Q169,Parametreler!$B$11),0)),0)*Parametreler!$B$10,0))</f>
        <v>99.814825265277165</v>
      </c>
    </row>
    <row r="170" spans="1:34" ht="15" customHeight="1" x14ac:dyDescent="0.25">
      <c r="A170" s="30">
        <v>1152174</v>
      </c>
      <c r="B170" s="30" t="s">
        <v>351</v>
      </c>
      <c r="C170" s="30" t="s">
        <v>139</v>
      </c>
      <c r="D170" s="30" t="s">
        <v>23</v>
      </c>
      <c r="E170" s="30" t="s">
        <v>124</v>
      </c>
      <c r="F170" s="31">
        <v>6</v>
      </c>
      <c r="G170" s="32">
        <v>3.129</v>
      </c>
      <c r="H170" s="33">
        <f>INDEX('Sac Özet'!$L$5:$L$199,MATCH($A170&amp;"",'Sac Özet'!$A$5:$A$199,0))</f>
        <v>3.8621708800890286</v>
      </c>
      <c r="I170" s="33">
        <f>INDEX('Sac Özet'!$M$5:$M$199,MATCH($A170&amp;"",'Sac Özet'!$A$5:$A$199,0))</f>
        <v>0.73322368008902861</v>
      </c>
      <c r="J170" s="34">
        <f>INDEX('Sac Özet'!$N$5:$N$199,MATCH($A170&amp;"",'Sac Özet'!$A$5:$A$199,0))</f>
        <v>2.8497725905875408</v>
      </c>
      <c r="K170" s="35">
        <f>SUMPRODUCT((--'Satınalma Parçaları'!$A$2:$A$107=--$A170)*'Satınalma Parçaları'!$L$2:$L$107)</f>
        <v>0</v>
      </c>
      <c r="L170" s="36">
        <f>J170+N(K170)</f>
        <v>2.8497725905875408</v>
      </c>
      <c r="M170" s="37">
        <f>AE170/100*Parametreler!$B$7</f>
        <v>1.3109999999999999</v>
      </c>
      <c r="N170" s="37">
        <f>AF170/100*Parametreler!$B$8</f>
        <v>1.8325</v>
      </c>
      <c r="O170" s="37">
        <f>AG170/100*Parametreler!$B$9</f>
        <v>1.7823999999999998</v>
      </c>
      <c r="P170" s="36">
        <f>SUM(M170:O170)</f>
        <v>4.9258999999999995</v>
      </c>
      <c r="Q170" s="47"/>
      <c r="R170" s="37">
        <f>IF(E170="Kataforez",N(Q170),IF(E170="Yaş boya",Parametreler!$B$10/MAX(1,ROUND(IF(ISNUMBER(Q170),Q170,Parametreler!$B$11),0)),0))</f>
        <v>0</v>
      </c>
      <c r="S170" s="36">
        <f>L170+P170+R170</f>
        <v>7.7756725905875399</v>
      </c>
      <c r="T170" s="39">
        <f>IF(S170=0,0,L170/S170)</f>
        <v>0.36649853210604488</v>
      </c>
      <c r="U170" s="39">
        <f>IF(S170=0,0,P170/S170)</f>
        <v>0.63350146789395512</v>
      </c>
      <c r="V170" s="39">
        <f>IF(S170=0,0,R170/S170)</f>
        <v>0</v>
      </c>
      <c r="W170" s="40">
        <f>SUM(AE170:AG170)/100*F170</f>
        <v>1.47777</v>
      </c>
      <c r="X170" s="37">
        <f>IF($G170=0,0,J170/$G170)</f>
        <v>0.91076145432647515</v>
      </c>
      <c r="Y170" s="37">
        <f>IF($G170=0,0,S170/$G170)</f>
        <v>2.4850343849752443</v>
      </c>
      <c r="Z170" s="41">
        <f>IF($G170=0,0,L170/$G170)</f>
        <v>0.91076145432647515</v>
      </c>
      <c r="AA170" s="36">
        <f>S170*Parametreler!$B$12</f>
        <v>11.119211804540182</v>
      </c>
      <c r="AB170" s="42">
        <f>AA170*F170</f>
        <v>66.715270827241085</v>
      </c>
      <c r="AC170" s="43"/>
      <c r="AD170" s="30" t="s">
        <v>91</v>
      </c>
      <c r="AE170" s="44">
        <f>INDEX('İşçilik Özet'!$W$6:$W$200,MATCH($A170&amp;"",'İşçilik Özet'!$A$6:$A$200,0))</f>
        <v>6.5549999999999997</v>
      </c>
      <c r="AF170" s="44">
        <f>INDEX('İşçilik Özet'!$X$6:$X$200,MATCH($A170&amp;"",'İşçilik Özet'!$A$6:$A$200,0))</f>
        <v>9.1624999999999996</v>
      </c>
      <c r="AG170" s="44">
        <f>INDEX('İşçilik Özet'!$Y$6:$Y$200,MATCH($A170&amp;"",'İşçilik Özet'!$A$6:$A$200,0))</f>
        <v>8.911999999999999</v>
      </c>
      <c r="AH170" s="45">
        <f>(L170+P170)*F170+IF(E170="Kataforez",N(Q170)*F170,IF(E170="Yaş boya",ROUNDUP(F170/MAX(1,ROUND(IF(ISNUMBER(Q170),Q170,Parametreler!$B$11),0)),0)*Parametreler!$B$10,0))</f>
        <v>46.654035543525239</v>
      </c>
    </row>
    <row r="171" spans="1:34" ht="15" customHeight="1" x14ac:dyDescent="0.25">
      <c r="A171" s="30">
        <v>149762</v>
      </c>
      <c r="B171" s="30" t="s">
        <v>293</v>
      </c>
      <c r="C171" s="30" t="s">
        <v>151</v>
      </c>
      <c r="D171" s="30" t="s">
        <v>23</v>
      </c>
      <c r="E171" s="30" t="s">
        <v>86</v>
      </c>
      <c r="F171" s="31">
        <v>2</v>
      </c>
      <c r="G171" s="32">
        <v>7.64</v>
      </c>
      <c r="H171" s="33">
        <f>INDEX('Sac Özet'!$L$5:$L$199,MATCH($A171&amp;"",'Sac Özet'!$A$5:$A$199,0))</f>
        <v>6.2683398780487796</v>
      </c>
      <c r="I171" s="33">
        <f>INDEX('Sac Özet'!$M$5:$M$199,MATCH($A171&amp;"",'Sac Özet'!$A$5:$A$199,0))</f>
        <v>1.1283011780487795</v>
      </c>
      <c r="J171" s="34">
        <f>INDEX('Sac Özet'!$N$5:$N$199,MATCH($A171&amp;"",'Sac Özet'!$A$5:$A$199,0))</f>
        <v>4.6454096987139692</v>
      </c>
      <c r="K171" s="35">
        <f>SUMPRODUCT((--'Satınalma Parçaları'!$A$2:$A$107=--$A171)*'Satınalma Parçaları'!$L$2:$L$107)</f>
        <v>0</v>
      </c>
      <c r="L171" s="36">
        <f>J171+N(K171)</f>
        <v>4.6454096987139692</v>
      </c>
      <c r="M171" s="37">
        <f>AE171/100*Parametreler!$B$7</f>
        <v>0</v>
      </c>
      <c r="N171" s="37">
        <f>AF171/100*Parametreler!$B$8</f>
        <v>3.3325000000000005</v>
      </c>
      <c r="O171" s="37">
        <f>AG171/100*Parametreler!$B$9</f>
        <v>3.1871999999999998</v>
      </c>
      <c r="P171" s="36">
        <f>SUM(M171:O171)</f>
        <v>6.5197000000000003</v>
      </c>
      <c r="Q171" s="38">
        <f>VLOOKUP($A171,'Yaş Boya Listesi'!$B$6:$L$131,11,FALSE())</f>
        <v>8</v>
      </c>
      <c r="R171" s="37">
        <f>IF(E171="Kataforez",N(Q171),IF(E171="Yaş boya",Parametreler!$B$10/MAX(1,ROUND(IF(ISNUMBER(Q171),Q171,Parametreler!$B$11),0)),0))</f>
        <v>10</v>
      </c>
      <c r="S171" s="36">
        <f>L171+P171+R171</f>
        <v>21.16510969871397</v>
      </c>
      <c r="T171" s="39">
        <f>IF(S171=0,0,L171/S171)</f>
        <v>0.21948431946923633</v>
      </c>
      <c r="U171" s="39">
        <f>IF(S171=0,0,P171/S171)</f>
        <v>0.30803998149823664</v>
      </c>
      <c r="V171" s="39">
        <f>IF(S171=0,0,R171/S171)</f>
        <v>0.47247569903252701</v>
      </c>
      <c r="W171" s="40">
        <f>SUM(AE171:AG171)/100*F171</f>
        <v>0.65197000000000005</v>
      </c>
      <c r="X171" s="37">
        <f>IF($G171=0,0,J171/$G171)</f>
        <v>0.60803791867983892</v>
      </c>
      <c r="Y171" s="37">
        <f>IF($G171=0,0,S171/$G171)</f>
        <v>2.7703023165855982</v>
      </c>
      <c r="Z171" s="41">
        <f>IF($G171=0,0,L171/$G171)</f>
        <v>0.60803791867983892</v>
      </c>
      <c r="AA171" s="36">
        <f>S171*Parametreler!$B$12</f>
        <v>30.266106869160975</v>
      </c>
      <c r="AB171" s="42">
        <f>AA171*F171</f>
        <v>60.53221373832195</v>
      </c>
      <c r="AC171" s="43" t="s">
        <v>294</v>
      </c>
      <c r="AD171" s="30" t="s">
        <v>96</v>
      </c>
      <c r="AE171" s="44">
        <f>INDEX('İşçilik Özet'!$W$6:$W$200,MATCH($A171&amp;"",'İşçilik Özet'!$A$6:$A$200,0))</f>
        <v>0</v>
      </c>
      <c r="AF171" s="44">
        <f>INDEX('İşçilik Özet'!$X$6:$X$200,MATCH($A171&amp;"",'İşçilik Özet'!$A$6:$A$200,0))</f>
        <v>16.662500000000001</v>
      </c>
      <c r="AG171" s="44">
        <f>INDEX('İşçilik Özet'!$Y$6:$Y$200,MATCH($A171&amp;"",'İşçilik Özet'!$A$6:$A$200,0))</f>
        <v>15.936</v>
      </c>
      <c r="AH171" s="45">
        <f>(L171+P171)*F171+IF(E171="Kataforez",N(Q171)*F171,IF(E171="Yaş boya",ROUNDUP(F171/MAX(1,ROUND(IF(ISNUMBER(Q171),Q171,Parametreler!$B$11),0)),0)*Parametreler!$B$10,0))</f>
        <v>102.33021939742794</v>
      </c>
    </row>
    <row r="172" spans="1:34" ht="15" customHeight="1" x14ac:dyDescent="0.25">
      <c r="A172" s="30">
        <v>380290</v>
      </c>
      <c r="B172" s="30" t="s">
        <v>307</v>
      </c>
      <c r="C172" s="30" t="s">
        <v>194</v>
      </c>
      <c r="D172" s="30" t="s">
        <v>85</v>
      </c>
      <c r="E172" s="30" t="s">
        <v>86</v>
      </c>
      <c r="F172" s="31">
        <v>1</v>
      </c>
      <c r="G172" s="32">
        <v>7.7009999999999996</v>
      </c>
      <c r="H172" s="33">
        <f>INDEX('Sac Özet'!$L$5:$L$199,MATCH($A172&amp;"",'Sac Özet'!$A$5:$A$199,0))</f>
        <v>10.930492917999999</v>
      </c>
      <c r="I172" s="33">
        <f>INDEX('Sac Özet'!$M$5:$M$199,MATCH($A172&amp;"",'Sac Özet'!$A$5:$A$199,0))</f>
        <v>3.224289218</v>
      </c>
      <c r="J172" s="34">
        <f>INDEX('Sac Özet'!$N$5:$N$199,MATCH($A172&amp;"",'Sac Özet'!$A$5:$A$199,0))</f>
        <v>7.6891724085090907</v>
      </c>
      <c r="K172" s="35">
        <f>SUMPRODUCT((--'Satınalma Parçaları'!$A$2:$A$107=--$A172)*'Satınalma Parçaları'!$L$2:$L$107)</f>
        <v>0</v>
      </c>
      <c r="L172" s="36">
        <f>J172+N(K172)</f>
        <v>7.6891724085090907</v>
      </c>
      <c r="M172" s="37">
        <f>AE172/100*Parametreler!$B$7</f>
        <v>2.6047500000000001</v>
      </c>
      <c r="N172" s="37">
        <f>AF172/100*Parametreler!$B$8</f>
        <v>2.0825</v>
      </c>
      <c r="O172" s="37">
        <f>AG172/100*Parametreler!$B$9</f>
        <v>1.7728000000000002</v>
      </c>
      <c r="P172" s="36">
        <f>SUM(M172:O172)</f>
        <v>6.4600500000000007</v>
      </c>
      <c r="Q172" s="38">
        <f>VLOOKUP($A172,'Yaş Boya Listesi'!$B$6:$L$131,11,FALSE())</f>
        <v>3</v>
      </c>
      <c r="R172" s="37">
        <f>IF(E172="Kataforez",N(Q172),IF(E172="Yaş boya",Parametreler!$B$10/MAX(1,ROUND(IF(ISNUMBER(Q172),Q172,Parametreler!$B$11),0)),0))</f>
        <v>26.666666666666668</v>
      </c>
      <c r="S172" s="36">
        <f>L172+P172+R172</f>
        <v>40.815889075175761</v>
      </c>
      <c r="T172" s="39">
        <f>IF(S172=0,0,L172/S172)</f>
        <v>0.18838674307319322</v>
      </c>
      <c r="U172" s="39">
        <f>IF(S172=0,0,P172/S172)</f>
        <v>0.15827292131507201</v>
      </c>
      <c r="V172" s="39">
        <f>IF(S172=0,0,R172/S172)</f>
        <v>0.65334033561173466</v>
      </c>
      <c r="W172" s="40">
        <f>SUM(AE172:AG172)/100*F172</f>
        <v>0.32300250000000008</v>
      </c>
      <c r="X172" s="37">
        <f>IF($G172=0,0,J172/$G172)</f>
        <v>0.99846414861824317</v>
      </c>
      <c r="Y172" s="37">
        <f>IF($G172=0,0,S172/$G172)</f>
        <v>5.3000764933353803</v>
      </c>
      <c r="Z172" s="41">
        <f>IF($G172=0,0,L172/$G172)</f>
        <v>0.99846414861824317</v>
      </c>
      <c r="AA172" s="36">
        <f>S172*Parametreler!$B$12</f>
        <v>58.366721377501335</v>
      </c>
      <c r="AB172" s="42">
        <f>AA172*F172</f>
        <v>58.366721377501335</v>
      </c>
      <c r="AC172" s="43"/>
      <c r="AD172" s="30"/>
      <c r="AE172" s="44">
        <f>INDEX('İşçilik Özet'!$W$6:$W$200,MATCH($A172&amp;"",'İşçilik Özet'!$A$6:$A$200,0))</f>
        <v>13.02375</v>
      </c>
      <c r="AF172" s="44">
        <f>INDEX('İşçilik Özet'!$X$6:$X$200,MATCH($A172&amp;"",'İşçilik Özet'!$A$6:$A$200,0))</f>
        <v>10.4125</v>
      </c>
      <c r="AG172" s="44">
        <f>INDEX('İşçilik Özet'!$Y$6:$Y$200,MATCH($A172&amp;"",'İşçilik Özet'!$A$6:$A$200,0))</f>
        <v>8.8640000000000008</v>
      </c>
      <c r="AH172" s="45">
        <f>(L172+P172)*F172+IF(E172="Kataforez",N(Q172)*F172,IF(E172="Yaş boya",ROUNDUP(F172/MAX(1,ROUND(IF(ISNUMBER(Q172),Q172,Parametreler!$B$11),0)),0)*Parametreler!$B$10,0))</f>
        <v>94.14922240850909</v>
      </c>
    </row>
    <row r="173" spans="1:34" ht="15" customHeight="1" x14ac:dyDescent="0.25">
      <c r="A173" s="30">
        <v>1255211</v>
      </c>
      <c r="B173" s="30" t="s">
        <v>356</v>
      </c>
      <c r="C173" s="30" t="s">
        <v>139</v>
      </c>
      <c r="D173" s="30" t="s">
        <v>23</v>
      </c>
      <c r="E173" s="30" t="s">
        <v>124</v>
      </c>
      <c r="F173" s="31">
        <v>5</v>
      </c>
      <c r="G173" s="32">
        <v>3.6419999999999999</v>
      </c>
      <c r="H173" s="33">
        <f>INDEX('Sac Özet'!$L$5:$L$199,MATCH($A173&amp;"",'Sac Özet'!$A$5:$A$199,0))</f>
        <v>4.6054749531670218</v>
      </c>
      <c r="I173" s="33">
        <f>INDEX('Sac Özet'!$M$5:$M$199,MATCH($A173&amp;"",'Sac Özet'!$A$5:$A$199,0))</f>
        <v>0.96351455316702195</v>
      </c>
      <c r="J173" s="34">
        <f>INDEX('Sac Özet'!$N$5:$N$199,MATCH($A173&amp;"",'Sac Özet'!$A$5:$A$199,0))</f>
        <v>3.3690479269516835</v>
      </c>
      <c r="K173" s="35">
        <f>SUMPRODUCT((--'Satınalma Parçaları'!$A$2:$A$107=--$A173)*'Satınalma Parçaları'!$L$2:$L$107)</f>
        <v>0</v>
      </c>
      <c r="L173" s="36">
        <f>J173+N(K173)</f>
        <v>3.3690479269516835</v>
      </c>
      <c r="M173" s="37">
        <f>AE173/100*Parametreler!$B$7</f>
        <v>1.081</v>
      </c>
      <c r="N173" s="37">
        <f>AF173/100*Parametreler!$B$8</f>
        <v>2.0825</v>
      </c>
      <c r="O173" s="37">
        <f>AG173/100*Parametreler!$B$9</f>
        <v>1.3266</v>
      </c>
      <c r="P173" s="36">
        <f>SUM(M173:O173)</f>
        <v>4.4901</v>
      </c>
      <c r="Q173" s="47"/>
      <c r="R173" s="37">
        <f>IF(E173="Kataforez",N(Q173),IF(E173="Yaş boya",Parametreler!$B$10/MAX(1,ROUND(IF(ISNUMBER(Q173),Q173,Parametreler!$B$11),0)),0))</f>
        <v>0</v>
      </c>
      <c r="S173" s="36">
        <f>L173+P173+R173</f>
        <v>7.8591479269516835</v>
      </c>
      <c r="T173" s="39">
        <f>IF(S173=0,0,L173/S173)</f>
        <v>0.42867852320199695</v>
      </c>
      <c r="U173" s="39">
        <f>IF(S173=0,0,P173/S173)</f>
        <v>0.57132147679800305</v>
      </c>
      <c r="V173" s="39">
        <f>IF(S173=0,0,R173/S173)</f>
        <v>0</v>
      </c>
      <c r="W173" s="40">
        <f>SUM(AE173:AG173)/100*F173</f>
        <v>1.122525</v>
      </c>
      <c r="X173" s="37">
        <f>IF($G173=0,0,J173/$G173)</f>
        <v>0.92505434567591538</v>
      </c>
      <c r="Y173" s="37">
        <f>IF($G173=0,0,S173/$G173)</f>
        <v>2.1579209025128181</v>
      </c>
      <c r="Z173" s="41">
        <f>IF($G173=0,0,L173/$G173)</f>
        <v>0.92505434567591538</v>
      </c>
      <c r="AA173" s="36">
        <f>S173*Parametreler!$B$12</f>
        <v>11.238581535540908</v>
      </c>
      <c r="AB173" s="42">
        <f>AA173*F173</f>
        <v>56.19290767770454</v>
      </c>
      <c r="AC173" s="43"/>
      <c r="AD173" s="30" t="s">
        <v>91</v>
      </c>
      <c r="AE173" s="44">
        <f>INDEX('İşçilik Özet'!$W$6:$W$200,MATCH($A173&amp;"",'İşçilik Özet'!$A$6:$A$200,0))</f>
        <v>5.4049999999999994</v>
      </c>
      <c r="AF173" s="44">
        <f>INDEX('İşçilik Özet'!$X$6:$X$200,MATCH($A173&amp;"",'İşçilik Özet'!$A$6:$A$200,0))</f>
        <v>10.4125</v>
      </c>
      <c r="AG173" s="44">
        <f>INDEX('İşçilik Özet'!$Y$6:$Y$200,MATCH($A173&amp;"",'İşçilik Özet'!$A$6:$A$200,0))</f>
        <v>6.633</v>
      </c>
      <c r="AH173" s="45">
        <f>(L173+P173)*F173+IF(E173="Kataforez",N(Q173)*F173,IF(E173="Yaş boya",ROUNDUP(F173/MAX(1,ROUND(IF(ISNUMBER(Q173),Q173,Parametreler!$B$11),0)),0)*Parametreler!$B$10,0))</f>
        <v>39.295739634758419</v>
      </c>
    </row>
    <row r="174" spans="1:34" ht="15" customHeight="1" x14ac:dyDescent="0.25">
      <c r="A174" s="30">
        <v>1255224</v>
      </c>
      <c r="B174" s="30" t="s">
        <v>357</v>
      </c>
      <c r="C174" s="30" t="s">
        <v>139</v>
      </c>
      <c r="D174" s="30" t="s">
        <v>23</v>
      </c>
      <c r="E174" s="30" t="s">
        <v>124</v>
      </c>
      <c r="F174" s="31">
        <v>5</v>
      </c>
      <c r="G174" s="32">
        <v>3.6419999999999999</v>
      </c>
      <c r="H174" s="33">
        <f>INDEX('Sac Özet'!$L$5:$L$199,MATCH($A174&amp;"",'Sac Özet'!$A$5:$A$199,0))</f>
        <v>4.6054749531670218</v>
      </c>
      <c r="I174" s="33">
        <f>INDEX('Sac Özet'!$M$5:$M$199,MATCH($A174&amp;"",'Sac Özet'!$A$5:$A$199,0))</f>
        <v>0.96351455316702195</v>
      </c>
      <c r="J174" s="34">
        <f>INDEX('Sac Özet'!$N$5:$N$199,MATCH($A174&amp;"",'Sac Özet'!$A$5:$A$199,0))</f>
        <v>3.3690479269516835</v>
      </c>
      <c r="K174" s="35">
        <f>SUMPRODUCT((--'Satınalma Parçaları'!$A$2:$A$107=--$A174)*'Satınalma Parçaları'!$L$2:$L$107)</f>
        <v>0</v>
      </c>
      <c r="L174" s="36">
        <f>J174+N(K174)</f>
        <v>3.3690479269516835</v>
      </c>
      <c r="M174" s="37">
        <f>AE174/100*Parametreler!$B$7</f>
        <v>1.081</v>
      </c>
      <c r="N174" s="37">
        <f>AF174/100*Parametreler!$B$8</f>
        <v>2.0825</v>
      </c>
      <c r="O174" s="37">
        <f>AG174/100*Parametreler!$B$9</f>
        <v>1.3266</v>
      </c>
      <c r="P174" s="36">
        <f>SUM(M174:O174)</f>
        <v>4.4901</v>
      </c>
      <c r="Q174" s="47"/>
      <c r="R174" s="37">
        <f>IF(E174="Kataforez",N(Q174),IF(E174="Yaş boya",Parametreler!$B$10/MAX(1,ROUND(IF(ISNUMBER(Q174),Q174,Parametreler!$B$11),0)),0))</f>
        <v>0</v>
      </c>
      <c r="S174" s="36">
        <f>L174+P174+R174</f>
        <v>7.8591479269516835</v>
      </c>
      <c r="T174" s="39">
        <f>IF(S174=0,0,L174/S174)</f>
        <v>0.42867852320199695</v>
      </c>
      <c r="U174" s="39">
        <f>IF(S174=0,0,P174/S174)</f>
        <v>0.57132147679800305</v>
      </c>
      <c r="V174" s="39">
        <f>IF(S174=0,0,R174/S174)</f>
        <v>0</v>
      </c>
      <c r="W174" s="40">
        <f>SUM(AE174:AG174)/100*F174</f>
        <v>1.122525</v>
      </c>
      <c r="X174" s="37">
        <f>IF($G174=0,0,J174/$G174)</f>
        <v>0.92505434567591538</v>
      </c>
      <c r="Y174" s="37">
        <f>IF($G174=0,0,S174/$G174)</f>
        <v>2.1579209025128181</v>
      </c>
      <c r="Z174" s="41">
        <f>IF($G174=0,0,L174/$G174)</f>
        <v>0.92505434567591538</v>
      </c>
      <c r="AA174" s="36">
        <f>S174*Parametreler!$B$12</f>
        <v>11.238581535540908</v>
      </c>
      <c r="AB174" s="42">
        <f>AA174*F174</f>
        <v>56.19290767770454</v>
      </c>
      <c r="AC174" s="43"/>
      <c r="AD174" s="30" t="s">
        <v>91</v>
      </c>
      <c r="AE174" s="44">
        <f>INDEX('İşçilik Özet'!$W$6:$W$200,MATCH($A174&amp;"",'İşçilik Özet'!$A$6:$A$200,0))</f>
        <v>5.4049999999999994</v>
      </c>
      <c r="AF174" s="44">
        <f>INDEX('İşçilik Özet'!$X$6:$X$200,MATCH($A174&amp;"",'İşçilik Özet'!$A$6:$A$200,0))</f>
        <v>10.4125</v>
      </c>
      <c r="AG174" s="44">
        <f>INDEX('İşçilik Özet'!$Y$6:$Y$200,MATCH($A174&amp;"",'İşçilik Özet'!$A$6:$A$200,0))</f>
        <v>6.633</v>
      </c>
      <c r="AH174" s="45">
        <f>(L174+P174)*F174+IF(E174="Kataforez",N(Q174)*F174,IF(E174="Yaş boya",ROUNDUP(F174/MAX(1,ROUND(IF(ISNUMBER(Q174),Q174,Parametreler!$B$11),0)),0)*Parametreler!$B$10,0))</f>
        <v>39.295739634758419</v>
      </c>
    </row>
    <row r="175" spans="1:34" ht="15" customHeight="1" x14ac:dyDescent="0.25">
      <c r="A175" s="30">
        <v>404630</v>
      </c>
      <c r="B175" s="30" t="s">
        <v>366</v>
      </c>
      <c r="C175" s="30" t="s">
        <v>194</v>
      </c>
      <c r="D175" s="30" t="s">
        <v>85</v>
      </c>
      <c r="E175" s="30" t="s">
        <v>124</v>
      </c>
      <c r="F175" s="31">
        <v>3</v>
      </c>
      <c r="G175" s="32">
        <v>11.747</v>
      </c>
      <c r="H175" s="33">
        <f>INDEX('Sac Özet'!$L$5:$L$199,MATCH($A175&amp;"",'Sac Özet'!$A$5:$A$199,0))</f>
        <v>17.654011402499997</v>
      </c>
      <c r="I175" s="33">
        <f>INDEX('Sac Özet'!$M$5:$M$199,MATCH($A175&amp;"",'Sac Özet'!$A$5:$A$199,0))</f>
        <v>9.3509879025</v>
      </c>
      <c r="J175" s="34">
        <f>INDEX('Sac Özet'!$N$5:$N$199,MATCH($A175&amp;"",'Sac Özet'!$A$5:$A$199,0))</f>
        <v>11.062885808454546</v>
      </c>
      <c r="K175" s="35">
        <f>SUMPRODUCT((--'Satınalma Parçaları'!$A$2:$A$107=--$A175)*'Satınalma Parçaları'!$L$2:$L$107)</f>
        <v>0</v>
      </c>
      <c r="L175" s="36">
        <f>J175+N(K175)</f>
        <v>11.062885808454546</v>
      </c>
      <c r="M175" s="37">
        <f>AE175/100*Parametreler!$B$7</f>
        <v>0</v>
      </c>
      <c r="N175" s="37">
        <f>AF175/100*Parametreler!$B$8</f>
        <v>2.0825</v>
      </c>
      <c r="O175" s="37">
        <f>AG175/100*Parametreler!$B$9</f>
        <v>0.63659999999999994</v>
      </c>
      <c r="P175" s="36">
        <f>SUM(M175:O175)</f>
        <v>2.7191000000000001</v>
      </c>
      <c r="Q175" s="47"/>
      <c r="R175" s="37">
        <f>IF(E175="Kataforez",N(Q175),IF(E175="Yaş boya",Parametreler!$B$10/MAX(1,ROUND(IF(ISNUMBER(Q175),Q175,Parametreler!$B$11),0)),0))</f>
        <v>0</v>
      </c>
      <c r="S175" s="36">
        <f>L175+P175+R175</f>
        <v>13.781985808454547</v>
      </c>
      <c r="T175" s="39">
        <f>IF(S175=0,0,L175/S175)</f>
        <v>0.80270622551853366</v>
      </c>
      <c r="U175" s="39">
        <f>IF(S175=0,0,P175/S175)</f>
        <v>0.19729377448146629</v>
      </c>
      <c r="V175" s="39">
        <f>IF(S175=0,0,R175/S175)</f>
        <v>0</v>
      </c>
      <c r="W175" s="40">
        <f>SUM(AE175:AG175)/100*F175</f>
        <v>0.40786499999999998</v>
      </c>
      <c r="X175" s="37">
        <f>IF($G175=0,0,J175/$G175)</f>
        <v>0.94176264650162134</v>
      </c>
      <c r="Y175" s="37">
        <f>IF($G175=0,0,S175/$G175)</f>
        <v>1.1732345116586829</v>
      </c>
      <c r="Z175" s="41">
        <f>IF($G175=0,0,L175/$G175)</f>
        <v>0.94176264650162134</v>
      </c>
      <c r="AA175" s="36">
        <f>S175*Parametreler!$B$12</f>
        <v>19.708239706090001</v>
      </c>
      <c r="AB175" s="42">
        <f>AA175*F175</f>
        <v>59.124719118270008</v>
      </c>
      <c r="AC175" s="43" t="s">
        <v>336</v>
      </c>
      <c r="AD175" s="30" t="s">
        <v>182</v>
      </c>
      <c r="AE175" s="44">
        <f>INDEX('İşçilik Özet'!$W$6:$W$200,MATCH($A175&amp;"",'İşçilik Özet'!$A$6:$A$200,0))</f>
        <v>0</v>
      </c>
      <c r="AF175" s="44">
        <f>INDEX('İşçilik Özet'!$X$6:$X$200,MATCH($A175&amp;"",'İşçilik Özet'!$A$6:$A$200,0))</f>
        <v>10.4125</v>
      </c>
      <c r="AG175" s="44">
        <f>INDEX('İşçilik Özet'!$Y$6:$Y$200,MATCH($A175&amp;"",'İşçilik Özet'!$A$6:$A$200,0))</f>
        <v>3.1829999999999998</v>
      </c>
      <c r="AH175" s="45">
        <f>(L175+P175)*F175+IF(E175="Kataforez",N(Q175)*F175,IF(E175="Yaş boya",ROUNDUP(F175/MAX(1,ROUND(IF(ISNUMBER(Q175),Q175,Parametreler!$B$11),0)),0)*Parametreler!$B$10,0))</f>
        <v>41.345957425363636</v>
      </c>
    </row>
    <row r="176" spans="1:34" ht="15" customHeight="1" x14ac:dyDescent="0.25">
      <c r="A176" s="30">
        <v>238323</v>
      </c>
      <c r="B176" s="30" t="s">
        <v>299</v>
      </c>
      <c r="C176" s="30" t="s">
        <v>110</v>
      </c>
      <c r="D176" s="30" t="s">
        <v>85</v>
      </c>
      <c r="E176" s="30" t="s">
        <v>86</v>
      </c>
      <c r="F176" s="31">
        <v>1</v>
      </c>
      <c r="G176" s="32">
        <v>13.318</v>
      </c>
      <c r="H176" s="33">
        <f>INDEX('Sac Özet'!$L$5:$L$199,MATCH($A176&amp;"",'Sac Özet'!$A$5:$A$199,0))</f>
        <v>10.972039199999999</v>
      </c>
      <c r="I176" s="33">
        <f>INDEX('Sac Özet'!$M$5:$M$199,MATCH($A176&amp;"",'Sac Özet'!$A$5:$A$199,0))</f>
        <v>0.22669229999999857</v>
      </c>
      <c r="J176" s="34">
        <f>INDEX('Sac Özet'!$N$5:$N$199,MATCH($A176&amp;"",'Sac Özet'!$A$5:$A$199,0))</f>
        <v>8.7034411527272706</v>
      </c>
      <c r="K176" s="35">
        <f>SUMPRODUCT((--'Satınalma Parçaları'!$A$2:$A$107=--$A176)*'Satınalma Parçaları'!$L$2:$L$107)</f>
        <v>0</v>
      </c>
      <c r="L176" s="36">
        <f>J176+N(K176)</f>
        <v>8.7034411527272706</v>
      </c>
      <c r="M176" s="37">
        <f>AE176/100*Parametreler!$B$7</f>
        <v>0</v>
      </c>
      <c r="N176" s="37">
        <f>AF176/100*Parametreler!$B$8</f>
        <v>4.8324999999999996</v>
      </c>
      <c r="O176" s="37">
        <f>AG176/100*Parametreler!$B$9</f>
        <v>5.7212000000000005</v>
      </c>
      <c r="P176" s="36">
        <f>SUM(M176:O176)</f>
        <v>10.553699999999999</v>
      </c>
      <c r="Q176" s="38">
        <f>VLOOKUP($A176,'Yaş Boya Listesi'!$B$6:$L$131,11,FALSE())</f>
        <v>5</v>
      </c>
      <c r="R176" s="37">
        <f>IF(E176="Kataforez",N(Q176),IF(E176="Yaş boya",Parametreler!$B$10/MAX(1,ROUND(IF(ISNUMBER(Q176),Q176,Parametreler!$B$11),0)),0))</f>
        <v>16</v>
      </c>
      <c r="S176" s="36">
        <f>L176+P176+R176</f>
        <v>35.257141152727272</v>
      </c>
      <c r="T176" s="39">
        <f>IF(S176=0,0,L176/S176)</f>
        <v>0.24685612242426602</v>
      </c>
      <c r="U176" s="39">
        <f>IF(S176=0,0,P176/S176)</f>
        <v>0.29933510361158794</v>
      </c>
      <c r="V176" s="39">
        <f>IF(S176=0,0,R176/S176)</f>
        <v>0.45380877396414598</v>
      </c>
      <c r="W176" s="40">
        <f>SUM(AE176:AG176)/100*F176</f>
        <v>0.52768500000000007</v>
      </c>
      <c r="X176" s="37">
        <f>IF($G176=0,0,J176/$G176)</f>
        <v>0.65350962252044387</v>
      </c>
      <c r="Y176" s="37">
        <f>IF($G176=0,0,S176/$G176)</f>
        <v>2.6473300159729143</v>
      </c>
      <c r="Z176" s="41">
        <f>IF($G176=0,0,L176/$G176)</f>
        <v>0.65350962252044387</v>
      </c>
      <c r="AA176" s="36">
        <f>S176*Parametreler!$B$12</f>
        <v>50.417711848399996</v>
      </c>
      <c r="AB176" s="42">
        <f>AA176*F176</f>
        <v>50.417711848399996</v>
      </c>
      <c r="AC176" s="43" t="s">
        <v>300</v>
      </c>
      <c r="AD176" s="30" t="s">
        <v>182</v>
      </c>
      <c r="AE176" s="44">
        <f>INDEX('İşçilik Özet'!$W$6:$W$200,MATCH($A176&amp;"",'İşçilik Özet'!$A$6:$A$200,0))</f>
        <v>0</v>
      </c>
      <c r="AF176" s="44">
        <f>INDEX('İşçilik Özet'!$X$6:$X$200,MATCH($A176&amp;"",'İşçilik Özet'!$A$6:$A$200,0))</f>
        <v>24.162499999999998</v>
      </c>
      <c r="AG176" s="44">
        <f>INDEX('İşçilik Özet'!$Y$6:$Y$200,MATCH($A176&amp;"",'İşçilik Özet'!$A$6:$A$200,0))</f>
        <v>28.606000000000002</v>
      </c>
      <c r="AH176" s="45">
        <f>(L176+P176)*F176+IF(E176="Kataforez",N(Q176)*F176,IF(E176="Yaş boya",ROUNDUP(F176/MAX(1,ROUND(IF(ISNUMBER(Q176),Q176,Parametreler!$B$11),0)),0)*Parametreler!$B$10,0))</f>
        <v>99.257141152727272</v>
      </c>
    </row>
    <row r="177" spans="1:34" ht="15" customHeight="1" x14ac:dyDescent="0.25">
      <c r="A177" s="30">
        <v>1225643</v>
      </c>
      <c r="B177" s="30" t="s">
        <v>297</v>
      </c>
      <c r="C177" s="30" t="s">
        <v>139</v>
      </c>
      <c r="D177" s="30" t="s">
        <v>23</v>
      </c>
      <c r="E177" s="30" t="s">
        <v>86</v>
      </c>
      <c r="F177" s="31">
        <v>2</v>
      </c>
      <c r="G177" s="32">
        <v>3.6269999999999998</v>
      </c>
      <c r="H177" s="33">
        <f>INDEX('Sac Özet'!$L$5:$L$199,MATCH($A177&amp;"",'Sac Özet'!$A$5:$A$199,0))</f>
        <v>3.045101158536585</v>
      </c>
      <c r="I177" s="33">
        <f>INDEX('Sac Özet'!$M$5:$M$199,MATCH($A177&amp;"",'Sac Özet'!$A$5:$A$199,0))</f>
        <v>0.54811820853658511</v>
      </c>
      <c r="J177" s="34">
        <f>INDEX('Sac Özet'!$N$5:$N$199,MATCH($A177&amp;"",'Sac Özet'!$A$5:$A$199,0))</f>
        <v>2.2566967858536584</v>
      </c>
      <c r="K177" s="35">
        <f>SUMPRODUCT((--'Satınalma Parçaları'!$A$2:$A$107=--$A177)*'Satınalma Parçaları'!$L$2:$L$107)</f>
        <v>0.91</v>
      </c>
      <c r="L177" s="36">
        <f>J177+N(K177)</f>
        <v>3.1666967858536585</v>
      </c>
      <c r="M177" s="37">
        <f>AE177/100*Parametreler!$B$7</f>
        <v>0</v>
      </c>
      <c r="N177" s="37">
        <f>AF177/100*Parametreler!$B$8</f>
        <v>3.5825</v>
      </c>
      <c r="O177" s="37">
        <f>AG177/100*Parametreler!$B$9</f>
        <v>1.8972</v>
      </c>
      <c r="P177" s="36">
        <f>SUM(M177:O177)</f>
        <v>5.4797000000000002</v>
      </c>
      <c r="Q177" s="38">
        <f>VLOOKUP($A177,'Yaş Boya Listesi'!$B$6:$L$131,11,FALSE())</f>
        <v>10</v>
      </c>
      <c r="R177" s="37">
        <f>IF(E177="Kataforez",N(Q177),IF(E177="Yaş boya",Parametreler!$B$10/MAX(1,ROUND(IF(ISNUMBER(Q177),Q177,Parametreler!$B$11),0)),0))</f>
        <v>8</v>
      </c>
      <c r="S177" s="36">
        <f>L177+P177+R177</f>
        <v>16.646396785853661</v>
      </c>
      <c r="T177" s="39">
        <f>IF(S177=0,0,L177/S177)</f>
        <v>0.1902331673689745</v>
      </c>
      <c r="U177" s="39">
        <f>IF(S177=0,0,P177/S177)</f>
        <v>0.32918234921906497</v>
      </c>
      <c r="V177" s="39">
        <f>IF(S177=0,0,R177/S177)</f>
        <v>0.48058448341196042</v>
      </c>
      <c r="W177" s="40">
        <f>SUM(AE177:AG177)/100*F177</f>
        <v>0.54797000000000007</v>
      </c>
      <c r="X177" s="37">
        <f>IF($G177=0,0,J177/$G177)</f>
        <v>0.62219376505477209</v>
      </c>
      <c r="Y177" s="37">
        <f>IF($G177=0,0,S177/$G177)</f>
        <v>4.5895772775995756</v>
      </c>
      <c r="Z177" s="41">
        <f>IF($G177=0,0,L177/$G177)</f>
        <v>0.87308982240244248</v>
      </c>
      <c r="AA177" s="36">
        <f>S177*Parametreler!$B$12</f>
        <v>23.804347403770734</v>
      </c>
      <c r="AB177" s="42">
        <f>AA177*F177</f>
        <v>47.608694807541468</v>
      </c>
      <c r="AC177" s="43" t="s">
        <v>298</v>
      </c>
      <c r="AD177" s="30" t="s">
        <v>96</v>
      </c>
      <c r="AE177" s="44">
        <f>INDEX('İşçilik Özet'!$W$6:$W$200,MATCH($A177&amp;"",'İşçilik Özet'!$A$6:$A$200,0))</f>
        <v>0</v>
      </c>
      <c r="AF177" s="44">
        <f>INDEX('İşçilik Özet'!$X$6:$X$200,MATCH($A177&amp;"",'İşçilik Özet'!$A$6:$A$200,0))</f>
        <v>17.912500000000001</v>
      </c>
      <c r="AG177" s="44">
        <f>INDEX('İşçilik Özet'!$Y$6:$Y$200,MATCH($A177&amp;"",'İşçilik Özet'!$A$6:$A$200,0))</f>
        <v>9.4860000000000007</v>
      </c>
      <c r="AH177" s="45">
        <f>(L177+P177)*F177+IF(E177="Kataforez",N(Q177)*F177,IF(E177="Yaş boya",ROUNDUP(F177/MAX(1,ROUND(IF(ISNUMBER(Q177),Q177,Parametreler!$B$11),0)),0)*Parametreler!$B$10,0))</f>
        <v>97.292793571707321</v>
      </c>
    </row>
    <row r="178" spans="1:34" ht="15" customHeight="1" x14ac:dyDescent="0.25">
      <c r="A178" s="30">
        <v>108544</v>
      </c>
      <c r="B178" s="30" t="s">
        <v>358</v>
      </c>
      <c r="C178" s="30" t="s">
        <v>107</v>
      </c>
      <c r="D178" s="30" t="s">
        <v>23</v>
      </c>
      <c r="E178" s="30" t="s">
        <v>124</v>
      </c>
      <c r="F178" s="31">
        <v>5</v>
      </c>
      <c r="G178" s="32">
        <v>2.855</v>
      </c>
      <c r="H178" s="33">
        <f>INDEX('Sac Özet'!$L$5:$L$199,MATCH($A178&amp;"",'Sac Özet'!$A$5:$A$199,0))</f>
        <v>3.6025263485733712</v>
      </c>
      <c r="I178" s="33">
        <f>INDEX('Sac Özet'!$M$5:$M$199,MATCH($A178&amp;"",'Sac Özet'!$A$5:$A$199,0))</f>
        <v>0.74754414857337137</v>
      </c>
      <c r="J178" s="34">
        <f>INDEX('Sac Özet'!$N$5:$N$199,MATCH($A178&amp;"",'Sac Özet'!$A$5:$A$199,0))</f>
        <v>2.637370266598321</v>
      </c>
      <c r="K178" s="35">
        <f>SUMPRODUCT((--'Satınalma Parçaları'!$A$2:$A$107=--$A178)*'Satınalma Parçaları'!$L$2:$L$107)</f>
        <v>0</v>
      </c>
      <c r="L178" s="36">
        <f>J178+N(K178)</f>
        <v>2.637370266598321</v>
      </c>
      <c r="M178" s="37">
        <f>AE178/100*Parametreler!$B$7</f>
        <v>1.3109999999999999</v>
      </c>
      <c r="N178" s="37">
        <f>AF178/100*Parametreler!$B$8</f>
        <v>1.8325</v>
      </c>
      <c r="O178" s="37">
        <f>AG178/100*Parametreler!$B$9</f>
        <v>0.95</v>
      </c>
      <c r="P178" s="36">
        <f>SUM(M178:O178)</f>
        <v>4.0934999999999997</v>
      </c>
      <c r="Q178" s="47"/>
      <c r="R178" s="37">
        <f>IF(E178="Kataforez",N(Q178),IF(E178="Yaş boya",Parametreler!$B$10/MAX(1,ROUND(IF(ISNUMBER(Q178),Q178,Parametreler!$B$11),0)),0))</f>
        <v>0</v>
      </c>
      <c r="S178" s="36">
        <f>L178+P178+R178</f>
        <v>6.7308702665983207</v>
      </c>
      <c r="T178" s="39">
        <f>IF(S178=0,0,L178/S178)</f>
        <v>0.39183198637569461</v>
      </c>
      <c r="U178" s="39">
        <f>IF(S178=0,0,P178/S178)</f>
        <v>0.60816801362430539</v>
      </c>
      <c r="V178" s="39">
        <f>IF(S178=0,0,R178/S178)</f>
        <v>0</v>
      </c>
      <c r="W178" s="40">
        <f>SUM(AE178:AG178)/100*F178</f>
        <v>1.0233750000000001</v>
      </c>
      <c r="X178" s="37">
        <f>IF($G178=0,0,J178/$G178)</f>
        <v>0.92377242262638215</v>
      </c>
      <c r="Y178" s="37">
        <f>IF($G178=0,0,S178/$G178)</f>
        <v>2.3575727728890792</v>
      </c>
      <c r="Z178" s="41">
        <f>IF($G178=0,0,L178/$G178)</f>
        <v>0.92377242262638215</v>
      </c>
      <c r="AA178" s="36">
        <f>S178*Parametreler!$B$12</f>
        <v>9.6251444812355977</v>
      </c>
      <c r="AB178" s="42">
        <f>AA178*F178</f>
        <v>48.125722406177985</v>
      </c>
      <c r="AC178" s="43"/>
      <c r="AD178" s="30" t="s">
        <v>91</v>
      </c>
      <c r="AE178" s="44">
        <f>INDEX('İşçilik Özet'!$W$6:$W$200,MATCH($A178&amp;"",'İşçilik Özet'!$A$6:$A$200,0))</f>
        <v>6.5549999999999997</v>
      </c>
      <c r="AF178" s="44">
        <f>INDEX('İşçilik Özet'!$X$6:$X$200,MATCH($A178&amp;"",'İşçilik Özet'!$A$6:$A$200,0))</f>
        <v>9.1624999999999996</v>
      </c>
      <c r="AG178" s="44">
        <f>INDEX('İşçilik Özet'!$Y$6:$Y$200,MATCH($A178&amp;"",'İşçilik Özet'!$A$6:$A$200,0))</f>
        <v>4.75</v>
      </c>
      <c r="AH178" s="45">
        <f>(L178+P178)*F178+IF(E178="Kataforez",N(Q178)*F178,IF(E178="Yaş boya",ROUNDUP(F178/MAX(1,ROUND(IF(ISNUMBER(Q178),Q178,Parametreler!$B$11),0)),0)*Parametreler!$B$10,0))</f>
        <v>33.654351332991602</v>
      </c>
    </row>
    <row r="179" spans="1:34" ht="15" customHeight="1" x14ac:dyDescent="0.25">
      <c r="A179" s="30">
        <v>395097</v>
      </c>
      <c r="B179" s="30" t="s">
        <v>305</v>
      </c>
      <c r="C179" s="30" t="s">
        <v>107</v>
      </c>
      <c r="D179" s="30" t="s">
        <v>23</v>
      </c>
      <c r="E179" s="30" t="s">
        <v>86</v>
      </c>
      <c r="F179" s="31">
        <v>1</v>
      </c>
      <c r="G179" s="32">
        <v>4.6159999999999997</v>
      </c>
      <c r="H179" s="33">
        <f>INDEX('Sac Özet'!$L$5:$L$199,MATCH($A179&amp;"",'Sac Özet'!$A$5:$A$199,0))</f>
        <v>2.1084908536585365</v>
      </c>
      <c r="I179" s="33">
        <f>INDEX('Sac Özet'!$M$5:$M$199,MATCH($A179&amp;"",'Sac Özet'!$A$5:$A$199,0))</f>
        <v>0.37952835365853643</v>
      </c>
      <c r="J179" s="34">
        <f>INDEX('Sac Özet'!$N$5:$N$199,MATCH($A179&amp;"",'Sac Özet'!$A$5:$A$199,0))</f>
        <v>1.5625834035476718</v>
      </c>
      <c r="K179" s="35">
        <f>SUMPRODUCT((--'Satınalma Parçaları'!$A$2:$A$107=--$A179)*'Satınalma Parçaları'!$L$2:$L$107)</f>
        <v>1.95</v>
      </c>
      <c r="L179" s="36">
        <f>J179+N(K179)</f>
        <v>3.512583403547672</v>
      </c>
      <c r="M179" s="37">
        <f>AE179/100*Parametreler!$B$7</f>
        <v>0</v>
      </c>
      <c r="N179" s="37">
        <f>AF179/100*Parametreler!$B$8</f>
        <v>4.3324999999999996</v>
      </c>
      <c r="O179" s="37">
        <f>AG179/100*Parametreler!$B$9</f>
        <v>2.2943999999999996</v>
      </c>
      <c r="P179" s="36">
        <f>SUM(M179:O179)</f>
        <v>6.6268999999999991</v>
      </c>
      <c r="Q179" s="38">
        <f>VLOOKUP($A179,'Yaş Boya Listesi'!$B$6:$L$131,11,FALSE())</f>
        <v>4</v>
      </c>
      <c r="R179" s="37">
        <f>IF(E179="Kataforez",N(Q179),IF(E179="Yaş boya",Parametreler!$B$10/MAX(1,ROUND(IF(ISNUMBER(Q179),Q179,Parametreler!$B$11),0)),0))</f>
        <v>20</v>
      </c>
      <c r="S179" s="36">
        <f>L179+P179+R179</f>
        <v>30.139483403547672</v>
      </c>
      <c r="T179" s="39">
        <f>IF(S179=0,0,L179/S179)</f>
        <v>0.11654424717625422</v>
      </c>
      <c r="U179" s="39">
        <f>IF(S179=0,0,P179/S179)</f>
        <v>0.21987437247248759</v>
      </c>
      <c r="V179" s="39">
        <f>IF(S179=0,0,R179/S179)</f>
        <v>0.66358138035125813</v>
      </c>
      <c r="W179" s="40">
        <f>SUM(AE179:AG179)/100*F179</f>
        <v>0.33134499999999995</v>
      </c>
      <c r="X179" s="37">
        <f>IF($G179=0,0,J179/$G179)</f>
        <v>0.33851460215504159</v>
      </c>
      <c r="Y179" s="37">
        <f>IF($G179=0,0,S179/$G179)</f>
        <v>6.5293508239921305</v>
      </c>
      <c r="Z179" s="41">
        <f>IF($G179=0,0,L179/$G179)</f>
        <v>0.76095827633181812</v>
      </c>
      <c r="AA179" s="36">
        <f>S179*Parametreler!$B$12</f>
        <v>43.099461267073167</v>
      </c>
      <c r="AB179" s="42">
        <f>AA179*F179</f>
        <v>43.099461267073167</v>
      </c>
      <c r="AC179" s="43" t="s">
        <v>306</v>
      </c>
      <c r="AD179" s="30" t="s">
        <v>96</v>
      </c>
      <c r="AE179" s="44">
        <f>INDEX('İşçilik Özet'!$W$6:$W$200,MATCH($A179&amp;"",'İşçilik Özet'!$A$6:$A$200,0))</f>
        <v>0</v>
      </c>
      <c r="AF179" s="44">
        <f>INDEX('İşçilik Özet'!$X$6:$X$200,MATCH($A179&amp;"",'İşçilik Özet'!$A$6:$A$200,0))</f>
        <v>21.662499999999998</v>
      </c>
      <c r="AG179" s="44">
        <f>INDEX('İşçilik Özet'!$Y$6:$Y$200,MATCH($A179&amp;"",'İşçilik Özet'!$A$6:$A$200,0))</f>
        <v>11.472</v>
      </c>
      <c r="AH179" s="45">
        <f>(L179+P179)*F179+IF(E179="Kataforez",N(Q179)*F179,IF(E179="Yaş boya",ROUNDUP(F179/MAX(1,ROUND(IF(ISNUMBER(Q179),Q179,Parametreler!$B$11),0)),0)*Parametreler!$B$10,0))</f>
        <v>90.139483403547672</v>
      </c>
    </row>
    <row r="180" spans="1:34" ht="15" customHeight="1" x14ac:dyDescent="0.25">
      <c r="A180" s="30">
        <v>437788</v>
      </c>
      <c r="B180" s="30" t="s">
        <v>310</v>
      </c>
      <c r="C180" s="30" t="s">
        <v>117</v>
      </c>
      <c r="D180" s="30" t="s">
        <v>23</v>
      </c>
      <c r="E180" s="30" t="s">
        <v>86</v>
      </c>
      <c r="F180" s="31">
        <v>1</v>
      </c>
      <c r="G180" s="32">
        <v>5.1120000000000001</v>
      </c>
      <c r="H180" s="33">
        <f>INDEX('Sac Özet'!$L$5:$L$199,MATCH($A180&amp;"",'Sac Özet'!$A$5:$A$199,0))</f>
        <v>6.4715158911403741</v>
      </c>
      <c r="I180" s="33">
        <f>INDEX('Sac Özet'!$M$5:$M$199,MATCH($A180&amp;"",'Sac Özet'!$A$5:$A$199,0))</f>
        <v>1.3595173911403746</v>
      </c>
      <c r="J180" s="34">
        <f>INDEX('Sac Özet'!$N$5:$N$199,MATCH($A180&amp;"",'Sac Özet'!$A$5:$A$199,0))</f>
        <v>4.7322797485390868</v>
      </c>
      <c r="K180" s="35">
        <f>SUMPRODUCT((--'Satınalma Parçaları'!$A$2:$A$107=--$A180)*'Satınalma Parçaları'!$L$2:$L$107)</f>
        <v>0</v>
      </c>
      <c r="L180" s="36">
        <f>J180+N(K180)</f>
        <v>4.7322797485390868</v>
      </c>
      <c r="M180" s="37">
        <f>AE180/100*Parametreler!$B$7</f>
        <v>1.7709999999999999</v>
      </c>
      <c r="N180" s="37">
        <f>AF180/100*Parametreler!$B$8</f>
        <v>2.5824999999999996</v>
      </c>
      <c r="O180" s="37">
        <f>AG180/100*Parametreler!$B$9</f>
        <v>1.28</v>
      </c>
      <c r="P180" s="36">
        <f>SUM(M180:O180)</f>
        <v>5.6334999999999997</v>
      </c>
      <c r="Q180" s="38">
        <f>VLOOKUP($A180,'Yaş Boya Listesi'!$B$6:$L$131,11,FALSE())</f>
        <v>4</v>
      </c>
      <c r="R180" s="37">
        <f>IF(E180="Kataforez",N(Q180),IF(E180="Yaş boya",Parametreler!$B$10/MAX(1,ROUND(IF(ISNUMBER(Q180),Q180,Parametreler!$B$11),0)),0))</f>
        <v>20</v>
      </c>
      <c r="S180" s="36">
        <f>L180+P180+R180</f>
        <v>30.365779748539087</v>
      </c>
      <c r="T180" s="39">
        <f>IF(S180=0,0,L180/S180)</f>
        <v>0.15584252364758588</v>
      </c>
      <c r="U180" s="39">
        <f>IF(S180=0,0,P180/S180)</f>
        <v>0.1855213350900706</v>
      </c>
      <c r="V180" s="39">
        <f>IF(S180=0,0,R180/S180)</f>
        <v>0.65863614126234349</v>
      </c>
      <c r="W180" s="40">
        <f>SUM(AE180:AG180)/100*F180</f>
        <v>0.28167499999999995</v>
      </c>
      <c r="X180" s="37">
        <f>IF($G180=0,0,J180/$G180)</f>
        <v>0.9257198256140623</v>
      </c>
      <c r="Y180" s="37">
        <f>IF($G180=0,0,S180/$G180)</f>
        <v>5.9400977598863625</v>
      </c>
      <c r="Z180" s="41">
        <f>IF($G180=0,0,L180/$G180)</f>
        <v>0.9257198256140623</v>
      </c>
      <c r="AA180" s="36">
        <f>S180*Parametreler!$B$12</f>
        <v>43.42306504041089</v>
      </c>
      <c r="AB180" s="42">
        <f>AA180*F180</f>
        <v>43.42306504041089</v>
      </c>
      <c r="AC180" s="43"/>
      <c r="AD180" s="30" t="s">
        <v>91</v>
      </c>
      <c r="AE180" s="44">
        <f>INDEX('İşçilik Özet'!$W$6:$W$200,MATCH($A180&amp;"",'İşçilik Özet'!$A$6:$A$200,0))</f>
        <v>8.8549999999999986</v>
      </c>
      <c r="AF180" s="44">
        <f>INDEX('İşçilik Özet'!$X$6:$X$200,MATCH($A180&amp;"",'İşçilik Özet'!$A$6:$A$200,0))</f>
        <v>12.9125</v>
      </c>
      <c r="AG180" s="44">
        <f>INDEX('İşçilik Özet'!$Y$6:$Y$200,MATCH($A180&amp;"",'İşçilik Özet'!$A$6:$A$200,0))</f>
        <v>6.4</v>
      </c>
      <c r="AH180" s="45">
        <f>(L180+P180)*F180+IF(E180="Kataforez",N(Q180)*F180,IF(E180="Yaş boya",ROUNDUP(F180/MAX(1,ROUND(IF(ISNUMBER(Q180),Q180,Parametreler!$B$11),0)),0)*Parametreler!$B$10,0))</f>
        <v>90.365779748539083</v>
      </c>
    </row>
    <row r="181" spans="1:34" ht="15" customHeight="1" x14ac:dyDescent="0.25">
      <c r="A181" s="30">
        <v>437797</v>
      </c>
      <c r="B181" s="30" t="s">
        <v>311</v>
      </c>
      <c r="C181" s="30" t="s">
        <v>119</v>
      </c>
      <c r="D181" s="30" t="s">
        <v>23</v>
      </c>
      <c r="E181" s="30" t="s">
        <v>86</v>
      </c>
      <c r="F181" s="31">
        <v>1</v>
      </c>
      <c r="G181" s="32">
        <v>5.1120000000000001</v>
      </c>
      <c r="H181" s="33">
        <f>INDEX('Sac Özet'!$L$5:$L$199,MATCH($A181&amp;"",'Sac Özet'!$A$5:$A$199,0))</f>
        <v>6.4715158911403741</v>
      </c>
      <c r="I181" s="33">
        <f>INDEX('Sac Özet'!$M$5:$M$199,MATCH($A181&amp;"",'Sac Özet'!$A$5:$A$199,0))</f>
        <v>1.3595173911403746</v>
      </c>
      <c r="J181" s="34">
        <f>INDEX('Sac Özet'!$N$5:$N$199,MATCH($A181&amp;"",'Sac Özet'!$A$5:$A$199,0))</f>
        <v>4.7322797485390868</v>
      </c>
      <c r="K181" s="35">
        <f>SUMPRODUCT((--'Satınalma Parçaları'!$A$2:$A$107=--$A181)*'Satınalma Parçaları'!$L$2:$L$107)</f>
        <v>0</v>
      </c>
      <c r="L181" s="36">
        <f>J181+N(K181)</f>
        <v>4.7322797485390868</v>
      </c>
      <c r="M181" s="37">
        <f>AE181/100*Parametreler!$B$7</f>
        <v>1.7709999999999999</v>
      </c>
      <c r="N181" s="37">
        <f>AF181/100*Parametreler!$B$8</f>
        <v>2.5824999999999996</v>
      </c>
      <c r="O181" s="37">
        <f>AG181/100*Parametreler!$B$9</f>
        <v>1.28</v>
      </c>
      <c r="P181" s="36">
        <f>SUM(M181:O181)</f>
        <v>5.6334999999999997</v>
      </c>
      <c r="Q181" s="38">
        <f>VLOOKUP($A181,'Yaş Boya Listesi'!$B$6:$L$131,11,FALSE())</f>
        <v>4</v>
      </c>
      <c r="R181" s="37">
        <f>IF(E181="Kataforez",N(Q181),IF(E181="Yaş boya",Parametreler!$B$10/MAX(1,ROUND(IF(ISNUMBER(Q181),Q181,Parametreler!$B$11),0)),0))</f>
        <v>20</v>
      </c>
      <c r="S181" s="36">
        <f>L181+P181+R181</f>
        <v>30.365779748539087</v>
      </c>
      <c r="T181" s="39">
        <f>IF(S181=0,0,L181/S181)</f>
        <v>0.15584252364758588</v>
      </c>
      <c r="U181" s="39">
        <f>IF(S181=0,0,P181/S181)</f>
        <v>0.1855213350900706</v>
      </c>
      <c r="V181" s="39">
        <f>IF(S181=0,0,R181/S181)</f>
        <v>0.65863614126234349</v>
      </c>
      <c r="W181" s="40">
        <f>SUM(AE181:AG181)/100*F181</f>
        <v>0.28167499999999995</v>
      </c>
      <c r="X181" s="37">
        <f>IF($G181=0,0,J181/$G181)</f>
        <v>0.9257198256140623</v>
      </c>
      <c r="Y181" s="37">
        <f>IF($G181=0,0,S181/$G181)</f>
        <v>5.9400977598863625</v>
      </c>
      <c r="Z181" s="41">
        <f>IF($G181=0,0,L181/$G181)</f>
        <v>0.9257198256140623</v>
      </c>
      <c r="AA181" s="36">
        <f>S181*Parametreler!$B$12</f>
        <v>43.42306504041089</v>
      </c>
      <c r="AB181" s="42">
        <f>AA181*F181</f>
        <v>43.42306504041089</v>
      </c>
      <c r="AC181" s="43"/>
      <c r="AD181" s="30" t="s">
        <v>91</v>
      </c>
      <c r="AE181" s="44">
        <f>INDEX('İşçilik Özet'!$W$6:$W$200,MATCH($A181&amp;"",'İşçilik Özet'!$A$6:$A$200,0))</f>
        <v>8.8549999999999986</v>
      </c>
      <c r="AF181" s="44">
        <f>INDEX('İşçilik Özet'!$X$6:$X$200,MATCH($A181&amp;"",'İşçilik Özet'!$A$6:$A$200,0))</f>
        <v>12.9125</v>
      </c>
      <c r="AG181" s="44">
        <f>INDEX('İşçilik Özet'!$Y$6:$Y$200,MATCH($A181&amp;"",'İşçilik Özet'!$A$6:$A$200,0))</f>
        <v>6.4</v>
      </c>
      <c r="AH181" s="45">
        <f>(L181+P181)*F181+IF(E181="Kataforez",N(Q181)*F181,IF(E181="Yaş boya",ROUNDUP(F181/MAX(1,ROUND(IF(ISNUMBER(Q181),Q181,Parametreler!$B$11),0)),0)*Parametreler!$B$10,0))</f>
        <v>90.365779748539083</v>
      </c>
    </row>
    <row r="182" spans="1:34" ht="15" customHeight="1" x14ac:dyDescent="0.25">
      <c r="A182" s="30">
        <v>683708</v>
      </c>
      <c r="B182" s="30" t="s">
        <v>308</v>
      </c>
      <c r="C182" s="30" t="s">
        <v>194</v>
      </c>
      <c r="D182" s="30" t="s">
        <v>23</v>
      </c>
      <c r="E182" s="30" t="s">
        <v>86</v>
      </c>
      <c r="F182" s="31">
        <v>2</v>
      </c>
      <c r="G182" s="32">
        <v>4.5720000000000001</v>
      </c>
      <c r="H182" s="33">
        <f>INDEX('Sac Özet'!$L$5:$L$199,MATCH($A182&amp;"",'Sac Özet'!$A$5:$A$199,0))</f>
        <v>5.5756060975609749</v>
      </c>
      <c r="I182" s="33">
        <f>INDEX('Sac Özet'!$M$5:$M$199,MATCH($A182&amp;"",'Sac Özet'!$A$5:$A$199,0))</f>
        <v>1.0036090975609753</v>
      </c>
      <c r="J182" s="34">
        <f>INDEX('Sac Özet'!$N$5:$N$199,MATCH($A182&amp;"",'Sac Özet'!$A$5:$A$199,0))</f>
        <v>4.1320309915742799</v>
      </c>
      <c r="K182" s="35">
        <f>SUMPRODUCT((--'Satınalma Parçaları'!$A$2:$A$107=--$A182)*'Satınalma Parçaları'!$L$2:$L$107)</f>
        <v>0</v>
      </c>
      <c r="L182" s="36">
        <f>J182+N(K182)</f>
        <v>4.1320309915742799</v>
      </c>
      <c r="M182" s="37">
        <f>AE182/100*Parametreler!$B$7</f>
        <v>0</v>
      </c>
      <c r="N182" s="37">
        <f>AF182/100*Parametreler!$B$8</f>
        <v>2.0825</v>
      </c>
      <c r="O182" s="37">
        <f>AG182/100*Parametreler!$B$9</f>
        <v>1.1199999999999999</v>
      </c>
      <c r="P182" s="36">
        <f>SUM(M182:O182)</f>
        <v>3.2024999999999997</v>
      </c>
      <c r="Q182" s="38">
        <f>VLOOKUP($A182,'Yaş Boya Listesi'!$B$6:$L$131,11,FALSE())</f>
        <v>10</v>
      </c>
      <c r="R182" s="37">
        <f>IF(E182="Kataforez",N(Q182),IF(E182="Yaş boya",Parametreler!$B$10/MAX(1,ROUND(IF(ISNUMBER(Q182),Q182,Parametreler!$B$11),0)),0))</f>
        <v>8</v>
      </c>
      <c r="S182" s="36">
        <f>L182+P182+R182</f>
        <v>15.33453099157428</v>
      </c>
      <c r="T182" s="39">
        <f>IF(S182=0,0,L182/S182)</f>
        <v>0.26945923509787606</v>
      </c>
      <c r="U182" s="39">
        <f>IF(S182=0,0,P182/S182)</f>
        <v>0.20884238336077232</v>
      </c>
      <c r="V182" s="39">
        <f>IF(S182=0,0,R182/S182)</f>
        <v>0.52169838154135162</v>
      </c>
      <c r="W182" s="40">
        <f>SUM(AE182:AG182)/100*F182</f>
        <v>0.32024999999999998</v>
      </c>
      <c r="X182" s="37">
        <f>IF($G182=0,0,J182/$G182)</f>
        <v>0.9037688083058355</v>
      </c>
      <c r="Y182" s="37">
        <f>IF($G182=0,0,S182/$G182)</f>
        <v>3.3540094032314696</v>
      </c>
      <c r="Z182" s="41">
        <f>IF($G182=0,0,L182/$G182)</f>
        <v>0.9037688083058355</v>
      </c>
      <c r="AA182" s="36">
        <f>S182*Parametreler!$B$12</f>
        <v>21.928379317951219</v>
      </c>
      <c r="AB182" s="42">
        <f>AA182*F182</f>
        <v>43.856758635902438</v>
      </c>
      <c r="AC182" s="43"/>
      <c r="AD182" s="30" t="s">
        <v>91</v>
      </c>
      <c r="AE182" s="44">
        <f>INDEX('İşçilik Özet'!$W$6:$W$200,MATCH($A182&amp;"",'İşçilik Özet'!$A$6:$A$200,0))</f>
        <v>0</v>
      </c>
      <c r="AF182" s="44">
        <f>INDEX('İşçilik Özet'!$X$6:$X$200,MATCH($A182&amp;"",'İşçilik Özet'!$A$6:$A$200,0))</f>
        <v>10.4125</v>
      </c>
      <c r="AG182" s="44">
        <f>INDEX('İşçilik Özet'!$Y$6:$Y$200,MATCH($A182&amp;"",'İşçilik Özet'!$A$6:$A$200,0))</f>
        <v>5.6</v>
      </c>
      <c r="AH182" s="45">
        <f>(L182+P182)*F182+IF(E182="Kataforez",N(Q182)*F182,IF(E182="Yaş boya",ROUNDUP(F182/MAX(1,ROUND(IF(ISNUMBER(Q182),Q182,Parametreler!$B$11),0)),0)*Parametreler!$B$10,0))</f>
        <v>94.669061983148566</v>
      </c>
    </row>
    <row r="183" spans="1:34" ht="15" customHeight="1" x14ac:dyDescent="0.25">
      <c r="A183" s="30">
        <v>396655</v>
      </c>
      <c r="B183" s="30" t="s">
        <v>295</v>
      </c>
      <c r="C183" s="30" t="s">
        <v>99</v>
      </c>
      <c r="D183" s="30" t="s">
        <v>23</v>
      </c>
      <c r="E183" s="30" t="s">
        <v>86</v>
      </c>
      <c r="F183" s="31">
        <v>1</v>
      </c>
      <c r="G183" s="32">
        <v>6.6849999999999996</v>
      </c>
      <c r="H183" s="33">
        <f>INDEX('Sac Özet'!$L$5:$L$199,MATCH($A183&amp;"",'Sac Özet'!$A$5:$A$199,0))</f>
        <v>7.7256062195121942</v>
      </c>
      <c r="I183" s="33">
        <f>INDEX('Sac Özet'!$M$5:$M$199,MATCH($A183&amp;"",'Sac Özet'!$A$5:$A$199,0))</f>
        <v>1.3906091195121948</v>
      </c>
      <c r="J183" s="34">
        <f>INDEX('Sac Özet'!$N$5:$N$199,MATCH($A183&amp;"",'Sac Özet'!$A$5:$A$199,0))</f>
        <v>5.7253765364966744</v>
      </c>
      <c r="K183" s="35">
        <f>SUMPRODUCT((--'Satınalma Parçaları'!$A$2:$A$107=--$A183)*'Satınalma Parçaları'!$L$2:$L$107)</f>
        <v>0</v>
      </c>
      <c r="L183" s="36">
        <f>J183+N(K183)</f>
        <v>5.7253765364966744</v>
      </c>
      <c r="M183" s="37">
        <f>AE183/100*Parametreler!$B$7</f>
        <v>0</v>
      </c>
      <c r="N183" s="37">
        <f>AF183/100*Parametreler!$B$8</f>
        <v>5.5824999999999996</v>
      </c>
      <c r="O183" s="37">
        <f>AG183/100*Parametreler!$B$9</f>
        <v>5.64</v>
      </c>
      <c r="P183" s="36">
        <f>SUM(M183:O183)</f>
        <v>11.2225</v>
      </c>
      <c r="Q183" s="38">
        <f>VLOOKUP($A183,'Yaş Boya Listesi'!$B$6:$L$131,11,FALSE())</f>
        <v>6</v>
      </c>
      <c r="R183" s="37">
        <f>IF(E183="Kataforez",N(Q183),IF(E183="Yaş boya",Parametreler!$B$10/MAX(1,ROUND(IF(ISNUMBER(Q183),Q183,Parametreler!$B$11),0)),0))</f>
        <v>13.333333333333334</v>
      </c>
      <c r="S183" s="36">
        <f>L183+P183+R183</f>
        <v>30.281209869830008</v>
      </c>
      <c r="T183" s="39">
        <f>IF(S183=0,0,L183/S183)</f>
        <v>0.18907357272408798</v>
      </c>
      <c r="U183" s="39">
        <f>IF(S183=0,0,P183/S183)</f>
        <v>0.37060936627836927</v>
      </c>
      <c r="V183" s="39">
        <f>IF(S183=0,0,R183/S183)</f>
        <v>0.44031706099754275</v>
      </c>
      <c r="W183" s="40">
        <f>SUM(AE183:AG183)/100*F183</f>
        <v>0.56112499999999998</v>
      </c>
      <c r="X183" s="37">
        <f>IF($G183=0,0,J183/$G183)</f>
        <v>0.85645123956569558</v>
      </c>
      <c r="Y183" s="37">
        <f>IF($G183=0,0,S183/$G183)</f>
        <v>4.5297247374465233</v>
      </c>
      <c r="Z183" s="41">
        <f>IF($G183=0,0,L183/$G183)</f>
        <v>0.85645123956569558</v>
      </c>
      <c r="AA183" s="36">
        <f>S183*Parametreler!$B$12</f>
        <v>43.302130113856911</v>
      </c>
      <c r="AB183" s="42">
        <f>AA183*F183</f>
        <v>43.302130113856911</v>
      </c>
      <c r="AC183" s="43" t="s">
        <v>296</v>
      </c>
      <c r="AD183" s="30" t="s">
        <v>96</v>
      </c>
      <c r="AE183" s="44">
        <f>INDEX('İşçilik Özet'!$W$6:$W$200,MATCH($A183&amp;"",'İşçilik Özet'!$A$6:$A$200,0))</f>
        <v>0</v>
      </c>
      <c r="AF183" s="44">
        <f>INDEX('İşçilik Özet'!$X$6:$X$200,MATCH($A183&amp;"",'İşçilik Özet'!$A$6:$A$200,0))</f>
        <v>27.912499999999998</v>
      </c>
      <c r="AG183" s="44">
        <f>INDEX('İşçilik Özet'!$Y$6:$Y$200,MATCH($A183&amp;"",'İşçilik Özet'!$A$6:$A$200,0))</f>
        <v>28.2</v>
      </c>
      <c r="AH183" s="45">
        <f>(L183+P183)*F183+IF(E183="Kataforez",N(Q183)*F183,IF(E183="Yaş boya",ROUNDUP(F183/MAX(1,ROUND(IF(ISNUMBER(Q183),Q183,Parametreler!$B$11),0)),0)*Parametreler!$B$10,0))</f>
        <v>96.947876536496679</v>
      </c>
    </row>
    <row r="184" spans="1:34" ht="15" customHeight="1" x14ac:dyDescent="0.25">
      <c r="A184" s="30">
        <v>1056822</v>
      </c>
      <c r="B184" s="30" t="s">
        <v>352</v>
      </c>
      <c r="C184" s="30" t="s">
        <v>139</v>
      </c>
      <c r="D184" s="30" t="s">
        <v>23</v>
      </c>
      <c r="E184" s="30" t="s">
        <v>124</v>
      </c>
      <c r="F184" s="31">
        <v>10</v>
      </c>
      <c r="G184" s="32">
        <v>2.4769999999999999</v>
      </c>
      <c r="H184" s="33">
        <f>INDEX('Sac Özet'!$L$5:$L$199,MATCH($A184&amp;"",'Sac Özet'!$A$5:$A$199,0))</f>
        <v>0</v>
      </c>
      <c r="I184" s="33">
        <f>INDEX('Sac Özet'!$M$5:$M$199,MATCH($A184&amp;"",'Sac Özet'!$A$5:$A$199,0))</f>
        <v>0</v>
      </c>
      <c r="J184" s="34">
        <f>INDEX('Sac Özet'!$N$5:$N$199,MATCH($A184&amp;"",'Sac Özet'!$A$5:$A$199,0))</f>
        <v>0</v>
      </c>
      <c r="K184" s="35">
        <f>SUMPRODUCT((--'Satınalma Parçaları'!$A$2:$A$107=--$A184)*'Satınalma Parçaları'!$L$2:$L$107)</f>
        <v>0</v>
      </c>
      <c r="L184" s="36">
        <f>J184+N(K184)</f>
        <v>0</v>
      </c>
      <c r="M184" s="37">
        <f>AE184/100*Parametreler!$B$7</f>
        <v>0</v>
      </c>
      <c r="N184" s="37">
        <f>AF184/100*Parametreler!$B$8</f>
        <v>1.8325</v>
      </c>
      <c r="O184" s="37">
        <f>AG184/100*Parametreler!$B$9</f>
        <v>1.0908000000000002</v>
      </c>
      <c r="P184" s="36">
        <f>SUM(M184:O184)</f>
        <v>2.9233000000000002</v>
      </c>
      <c r="Q184" s="47"/>
      <c r="R184" s="37">
        <f>IF(E184="Kataforez",N(Q184),IF(E184="Yaş boya",Parametreler!$B$10/MAX(1,ROUND(IF(ISNUMBER(Q184),Q184,Parametreler!$B$11),0)),0))</f>
        <v>0</v>
      </c>
      <c r="S184" s="36">
        <f>L184+P184+R184</f>
        <v>2.9233000000000002</v>
      </c>
      <c r="T184" s="39">
        <f>IF(S184=0,0,L184/S184)</f>
        <v>0</v>
      </c>
      <c r="U184" s="39">
        <f>IF(S184=0,0,P184/S184)</f>
        <v>1</v>
      </c>
      <c r="V184" s="39">
        <f>IF(S184=0,0,R184/S184)</f>
        <v>0</v>
      </c>
      <c r="W184" s="40">
        <f>SUM(AE184:AG184)/100*F184</f>
        <v>1.4616499999999999</v>
      </c>
      <c r="X184" s="37">
        <f>IF($G184=0,0,J184/$G184)</f>
        <v>0</v>
      </c>
      <c r="Y184" s="37">
        <f>IF($G184=0,0,S184/$G184)</f>
        <v>1.1801776342349619</v>
      </c>
      <c r="Z184" s="41">
        <f>IF($G184=0,0,L184/$G184)</f>
        <v>0</v>
      </c>
      <c r="AA184" s="36">
        <f>S184*Parametreler!$B$12</f>
        <v>4.1803189999999999</v>
      </c>
      <c r="AB184" s="42">
        <f>AA184*F184</f>
        <v>41.803190000000001</v>
      </c>
      <c r="AC184" s="43" t="s">
        <v>353</v>
      </c>
      <c r="AD184" s="30" t="s">
        <v>132</v>
      </c>
      <c r="AE184" s="44">
        <f>INDEX('İşçilik Özet'!$W$6:$W$200,MATCH($A184&amp;"",'İşçilik Özet'!$A$6:$A$200,0))</f>
        <v>0</v>
      </c>
      <c r="AF184" s="44">
        <f>INDEX('İşçilik Özet'!$X$6:$X$200,MATCH($A184&amp;"",'İşçilik Özet'!$A$6:$A$200,0))</f>
        <v>9.1624999999999996</v>
      </c>
      <c r="AG184" s="44">
        <f>INDEX('İşçilik Özet'!$Y$6:$Y$200,MATCH($A184&amp;"",'İşçilik Özet'!$A$6:$A$200,0))</f>
        <v>5.4540000000000006</v>
      </c>
      <c r="AH184" s="45">
        <f>(L184+P184)*F184+IF(E184="Kataforez",N(Q184)*F184,IF(E184="Yaş boya",ROUNDUP(F184/MAX(1,ROUND(IF(ISNUMBER(Q184),Q184,Parametreler!$B$11),0)),0)*Parametreler!$B$10,0))</f>
        <v>29.233000000000004</v>
      </c>
    </row>
    <row r="185" spans="1:34" ht="15" customHeight="1" x14ac:dyDescent="0.25">
      <c r="A185" s="30">
        <v>657844</v>
      </c>
      <c r="B185" s="30" t="s">
        <v>301</v>
      </c>
      <c r="C185" s="30" t="s">
        <v>139</v>
      </c>
      <c r="D185" s="30" t="s">
        <v>23</v>
      </c>
      <c r="E185" s="30" t="s">
        <v>86</v>
      </c>
      <c r="F185" s="31">
        <v>2</v>
      </c>
      <c r="G185" s="32">
        <v>0.998</v>
      </c>
      <c r="H185" s="33">
        <f>INDEX('Sac Özet'!$L$5:$L$199,MATCH($A185&amp;"",'Sac Özet'!$A$5:$A$199,0))</f>
        <v>0.87314975609756085</v>
      </c>
      <c r="I185" s="33">
        <f>INDEX('Sac Özet'!$M$5:$M$199,MATCH($A185&amp;"",'Sac Özet'!$A$5:$A$199,0))</f>
        <v>0.1571669560975609</v>
      </c>
      <c r="J185" s="34">
        <f>INDEX('Sac Özet'!$N$5:$N$199,MATCH($A185&amp;"",'Sac Özet'!$A$5:$A$199,0))</f>
        <v>0.64708334651884714</v>
      </c>
      <c r="K185" s="35">
        <f>SUMPRODUCT((--'Satınalma Parçaları'!$A$2:$A$107=--$A185)*'Satınalma Parçaları'!$L$2:$L$107)</f>
        <v>0.505</v>
      </c>
      <c r="L185" s="36">
        <f>J185+N(K185)</f>
        <v>1.1520833465188471</v>
      </c>
      <c r="M185" s="37">
        <f>AE185/100*Parametreler!$B$7</f>
        <v>0</v>
      </c>
      <c r="N185" s="37">
        <f>AF185/100*Parametreler!$B$8</f>
        <v>3.0824999999999996</v>
      </c>
      <c r="O185" s="37">
        <f>AG185/100*Parametreler!$B$9</f>
        <v>1.9808000000000001</v>
      </c>
      <c r="P185" s="36">
        <f>SUM(M185:O185)</f>
        <v>5.0632999999999999</v>
      </c>
      <c r="Q185" s="38">
        <f>VLOOKUP($A185,'Yaş Boya Listesi'!$B$6:$L$131,11,FALSE())</f>
        <v>10</v>
      </c>
      <c r="R185" s="37">
        <f>IF(E185="Kataforez",N(Q185),IF(E185="Yaş boya",Parametreler!$B$10/MAX(1,ROUND(IF(ISNUMBER(Q185),Q185,Parametreler!$B$11),0)),0))</f>
        <v>8</v>
      </c>
      <c r="S185" s="36">
        <f>L185+P185+R185</f>
        <v>14.215383346518847</v>
      </c>
      <c r="T185" s="39">
        <f>IF(S185=0,0,L185/S185)</f>
        <v>8.1044831393940323E-2</v>
      </c>
      <c r="U185" s="39">
        <f>IF(S185=0,0,P185/S185)</f>
        <v>0.35618455560257073</v>
      </c>
      <c r="V185" s="39">
        <f>IF(S185=0,0,R185/S185)</f>
        <v>0.56277061300348896</v>
      </c>
      <c r="W185" s="40">
        <f>SUM(AE185:AG185)/100*F185</f>
        <v>0.50632999999999995</v>
      </c>
      <c r="X185" s="37">
        <f>IF($G185=0,0,J185/$G185)</f>
        <v>0.64838010673231172</v>
      </c>
      <c r="Y185" s="37">
        <f>IF($G185=0,0,S185/$G185)</f>
        <v>14.243871088696238</v>
      </c>
      <c r="Z185" s="41">
        <f>IF($G185=0,0,L185/$G185)</f>
        <v>1.1543921307804079</v>
      </c>
      <c r="AA185" s="36">
        <f>S185*Parametreler!$B$12</f>
        <v>20.327998185521949</v>
      </c>
      <c r="AB185" s="42">
        <f>AA185*F185</f>
        <v>40.655996371043898</v>
      </c>
      <c r="AC185" s="43" t="s">
        <v>302</v>
      </c>
      <c r="AD185" s="30" t="s">
        <v>96</v>
      </c>
      <c r="AE185" s="44">
        <f>INDEX('İşçilik Özet'!$W$6:$W$200,MATCH($A185&amp;"",'İşçilik Özet'!$A$6:$A$200,0))</f>
        <v>0</v>
      </c>
      <c r="AF185" s="44">
        <f>INDEX('İşçilik Özet'!$X$6:$X$200,MATCH($A185&amp;"",'İşçilik Özet'!$A$6:$A$200,0))</f>
        <v>15.4125</v>
      </c>
      <c r="AG185" s="44">
        <f>INDEX('İşçilik Özet'!$Y$6:$Y$200,MATCH($A185&amp;"",'İşçilik Özet'!$A$6:$A$200,0))</f>
        <v>9.9039999999999999</v>
      </c>
      <c r="AH185" s="45">
        <f>(L185+P185)*F185+IF(E185="Kataforez",N(Q185)*F185,IF(E185="Yaş boya",ROUNDUP(F185/MAX(1,ROUND(IF(ISNUMBER(Q185),Q185,Parametreler!$B$11),0)),0)*Parametreler!$B$10,0))</f>
        <v>92.430766693037697</v>
      </c>
    </row>
    <row r="186" spans="1:34" ht="15" customHeight="1" x14ac:dyDescent="0.25">
      <c r="A186" s="30">
        <v>316188</v>
      </c>
      <c r="B186" s="30" t="s">
        <v>303</v>
      </c>
      <c r="C186" s="30" t="s">
        <v>107</v>
      </c>
      <c r="D186" s="30" t="s">
        <v>23</v>
      </c>
      <c r="E186" s="30" t="s">
        <v>86</v>
      </c>
      <c r="F186" s="31">
        <v>2</v>
      </c>
      <c r="G186" s="32">
        <v>1.593</v>
      </c>
      <c r="H186" s="33">
        <f>INDEX('Sac Özet'!$L$5:$L$199,MATCH($A186&amp;"",'Sac Özet'!$A$5:$A$199,0))</f>
        <v>2.006257228353272</v>
      </c>
      <c r="I186" s="33">
        <f>INDEX('Sac Özet'!$M$5:$M$199,MATCH($A186&amp;"",'Sac Özet'!$A$5:$A$199,0))</f>
        <v>0.41326457835327202</v>
      </c>
      <c r="J186" s="34">
        <f>INDEX('Sac Özet'!$N$5:$N$199,MATCH($A186&amp;"",'Sac Özet'!$A$5:$A$199,0))</f>
        <v>1.4697555570397287</v>
      </c>
      <c r="K186" s="35">
        <f>SUMPRODUCT((--'Satınalma Parçaları'!$A$2:$A$107=--$A186)*'Satınalma Parçaları'!$L$2:$L$107)</f>
        <v>0</v>
      </c>
      <c r="L186" s="36">
        <f>J186+N(K186)</f>
        <v>1.4697555570397287</v>
      </c>
      <c r="M186" s="37">
        <f>AE186/100*Parametreler!$B$7</f>
        <v>1.7709999999999999</v>
      </c>
      <c r="N186" s="37">
        <f>AF186/100*Parametreler!$B$8</f>
        <v>1.8325</v>
      </c>
      <c r="O186" s="37">
        <f>AG186/100*Parametreler!$B$9</f>
        <v>0.68</v>
      </c>
      <c r="P186" s="36">
        <f>SUM(M186:O186)</f>
        <v>4.2835000000000001</v>
      </c>
      <c r="Q186" s="38">
        <f>VLOOKUP($A186,'Yaş Boya Listesi'!$B$6:$L$131,11,FALSE())</f>
        <v>10</v>
      </c>
      <c r="R186" s="37">
        <f>IF(E186="Kataforez",N(Q186),IF(E186="Yaş boya",Parametreler!$B$10/MAX(1,ROUND(IF(ISNUMBER(Q186),Q186,Parametreler!$B$11),0)),0))</f>
        <v>8</v>
      </c>
      <c r="S186" s="36">
        <f>L186+P186+R186</f>
        <v>13.753255557039729</v>
      </c>
      <c r="T186" s="39">
        <f>IF(S186=0,0,L186/S186)</f>
        <v>0.10686601081061284</v>
      </c>
      <c r="U186" s="39">
        <f>IF(S186=0,0,P186/S186)</f>
        <v>0.31145353056480157</v>
      </c>
      <c r="V186" s="39">
        <f>IF(S186=0,0,R186/S186)</f>
        <v>0.58168045862458562</v>
      </c>
      <c r="W186" s="40">
        <f>SUM(AE186:AG186)/100*F186</f>
        <v>0.42834999999999995</v>
      </c>
      <c r="X186" s="37">
        <f>IF($G186=0,0,J186/$G186)</f>
        <v>0.92263374578765145</v>
      </c>
      <c r="Y186" s="37">
        <f>IF($G186=0,0,S186/$G186)</f>
        <v>8.6335565329816255</v>
      </c>
      <c r="Z186" s="41">
        <f>IF($G186=0,0,L186/$G186)</f>
        <v>0.92263374578765145</v>
      </c>
      <c r="AA186" s="36">
        <f>S186*Parametreler!$B$12</f>
        <v>19.667155446566813</v>
      </c>
      <c r="AB186" s="42">
        <f>AA186*F186</f>
        <v>39.334310893133626</v>
      </c>
      <c r="AC186" s="43"/>
      <c r="AD186" s="30" t="s">
        <v>91</v>
      </c>
      <c r="AE186" s="44">
        <f>INDEX('İşçilik Özet'!$W$6:$W$200,MATCH($A186&amp;"",'İşçilik Özet'!$A$6:$A$200,0))</f>
        <v>8.8549999999999986</v>
      </c>
      <c r="AF186" s="44">
        <f>INDEX('İşçilik Özet'!$X$6:$X$200,MATCH($A186&amp;"",'İşçilik Özet'!$A$6:$A$200,0))</f>
        <v>9.1624999999999996</v>
      </c>
      <c r="AG186" s="44">
        <f>INDEX('İşçilik Özet'!$Y$6:$Y$200,MATCH($A186&amp;"",'İşçilik Özet'!$A$6:$A$200,0))</f>
        <v>3.4</v>
      </c>
      <c r="AH186" s="45">
        <f>(L186+P186)*F186+IF(E186="Kataforez",N(Q186)*F186,IF(E186="Yaş boya",ROUNDUP(F186/MAX(1,ROUND(IF(ISNUMBER(Q186),Q186,Parametreler!$B$11),0)),0)*Parametreler!$B$10,0))</f>
        <v>91.506511114079458</v>
      </c>
    </row>
    <row r="187" spans="1:34" ht="15" customHeight="1" x14ac:dyDescent="0.25">
      <c r="A187" s="30">
        <v>710674</v>
      </c>
      <c r="B187" s="30" t="s">
        <v>339</v>
      </c>
      <c r="C187" s="30" t="s">
        <v>99</v>
      </c>
      <c r="D187" s="30" t="s">
        <v>23</v>
      </c>
      <c r="E187" s="30" t="s">
        <v>124</v>
      </c>
      <c r="F187" s="31">
        <v>5</v>
      </c>
      <c r="G187" s="32">
        <v>1.7010000000000001</v>
      </c>
      <c r="H187" s="33">
        <f>INDEX('Sac Özet'!$L$5:$L$199,MATCH($A187&amp;"",'Sac Özet'!$A$5:$A$199,0))</f>
        <v>1.9038447999999999</v>
      </c>
      <c r="I187" s="33">
        <f>INDEX('Sac Özet'!$M$5:$M$199,MATCH($A187&amp;"",'Sac Özet'!$A$5:$A$199,0))</f>
        <v>0.18921639999999995</v>
      </c>
      <c r="J187" s="34">
        <f>INDEX('Sac Özet'!$N$5:$N$199,MATCH($A187&amp;"",'Sac Özet'!$A$5:$A$199,0))</f>
        <v>1.4611504727272728</v>
      </c>
      <c r="K187" s="35">
        <f>SUMPRODUCT((--'Satınalma Parçaları'!$A$2:$A$107=--$A187)*'Satınalma Parçaları'!$L$2:$L$107)</f>
        <v>0</v>
      </c>
      <c r="L187" s="36">
        <f>J187+N(K187)</f>
        <v>1.4611504727272728</v>
      </c>
      <c r="M187" s="37">
        <f>AE187/100*Parametreler!$B$7</f>
        <v>1.3109999999999999</v>
      </c>
      <c r="N187" s="37">
        <f>AF187/100*Parametreler!$B$8</f>
        <v>2.0825</v>
      </c>
      <c r="O187" s="37">
        <f>AG187/100*Parametreler!$B$9</f>
        <v>0.624</v>
      </c>
      <c r="P187" s="36">
        <f>SUM(M187:O187)</f>
        <v>4.0175000000000001</v>
      </c>
      <c r="Q187" s="47"/>
      <c r="R187" s="37">
        <f>IF(E187="Kataforez",N(Q187),IF(E187="Yaş boya",Parametreler!$B$10/MAX(1,ROUND(IF(ISNUMBER(Q187),Q187,Parametreler!$B$11),0)),0))</f>
        <v>0</v>
      </c>
      <c r="S187" s="36">
        <f>L187+P187+R187</f>
        <v>5.4786504727272725</v>
      </c>
      <c r="T187" s="39">
        <f>IF(S187=0,0,L187/S187)</f>
        <v>0.26669897632653905</v>
      </c>
      <c r="U187" s="39">
        <f>IF(S187=0,0,P187/S187)</f>
        <v>0.73330102367346106</v>
      </c>
      <c r="V187" s="39">
        <f>IF(S187=0,0,R187/S187)</f>
        <v>0</v>
      </c>
      <c r="W187" s="40">
        <f>SUM(AE187:AG187)/100*F187</f>
        <v>1.004375</v>
      </c>
      <c r="X187" s="37">
        <f>IF($G187=0,0,J187/$G187)</f>
        <v>0.85899498690609799</v>
      </c>
      <c r="Y187" s="37">
        <f>IF($G187=0,0,S187/$G187)</f>
        <v>3.2208409598631818</v>
      </c>
      <c r="Z187" s="41">
        <f>IF($G187=0,0,L187/$G187)</f>
        <v>0.85899498690609799</v>
      </c>
      <c r="AA187" s="36">
        <f>S187*Parametreler!$B$12</f>
        <v>7.8344701759999991</v>
      </c>
      <c r="AB187" s="42">
        <f>AA187*F187</f>
        <v>39.172350879999996</v>
      </c>
      <c r="AC187" s="43"/>
      <c r="AD187" s="30" t="s">
        <v>91</v>
      </c>
      <c r="AE187" s="44">
        <f>INDEX('İşçilik Özet'!$W$6:$W$200,MATCH($A187&amp;"",'İşçilik Özet'!$A$6:$A$200,0))</f>
        <v>6.5549999999999997</v>
      </c>
      <c r="AF187" s="44">
        <f>INDEX('İşçilik Özet'!$X$6:$X$200,MATCH($A187&amp;"",'İşçilik Özet'!$A$6:$A$200,0))</f>
        <v>10.4125</v>
      </c>
      <c r="AG187" s="44">
        <f>INDEX('İşçilik Özet'!$Y$6:$Y$200,MATCH($A187&amp;"",'İşçilik Özet'!$A$6:$A$200,0))</f>
        <v>3.12</v>
      </c>
      <c r="AH187" s="45">
        <f>(L187+P187)*F187+IF(E187="Kataforez",N(Q187)*F187,IF(E187="Yaş boya",ROUNDUP(F187/MAX(1,ROUND(IF(ISNUMBER(Q187),Q187,Parametreler!$B$11),0)),0)*Parametreler!$B$10,0))</f>
        <v>27.393252363636364</v>
      </c>
    </row>
    <row r="188" spans="1:34" ht="15" customHeight="1" x14ac:dyDescent="0.25">
      <c r="A188" s="30">
        <v>238625</v>
      </c>
      <c r="B188" s="30" t="s">
        <v>309</v>
      </c>
      <c r="C188" s="30" t="s">
        <v>113</v>
      </c>
      <c r="D188" s="30" t="s">
        <v>23</v>
      </c>
      <c r="E188" s="30" t="s">
        <v>86</v>
      </c>
      <c r="F188" s="31">
        <v>1</v>
      </c>
      <c r="G188" s="32">
        <v>6.5380000000000003</v>
      </c>
      <c r="H188" s="33">
        <f>INDEX('Sac Özet'!$L$5:$L$199,MATCH($A188&amp;"",'Sac Özet'!$A$5:$A$199,0))</f>
        <v>8.2479126634517286</v>
      </c>
      <c r="I188" s="33">
        <f>INDEX('Sac Özet'!$M$5:$M$199,MATCH($A188&amp;"",'Sac Özet'!$A$5:$A$199,0))</f>
        <v>1.709914563451729</v>
      </c>
      <c r="J188" s="34">
        <f>INDEX('Sac Özet'!$N$5:$N$199,MATCH($A188&amp;"",'Sac Özet'!$A$5:$A$199,0))</f>
        <v>6.0387217281771814</v>
      </c>
      <c r="K188" s="35">
        <f>SUMPRODUCT((--'Satınalma Parçaları'!$A$2:$A$107=--$A188)*'Satınalma Parçaları'!$L$2:$L$107)</f>
        <v>0</v>
      </c>
      <c r="L188" s="36">
        <f>J188+N(K188)</f>
        <v>6.0387217281771814</v>
      </c>
      <c r="M188" s="37">
        <f>AE188/100*Parametreler!$B$7</f>
        <v>2.1447500000000002</v>
      </c>
      <c r="N188" s="37">
        <f>AF188/100*Parametreler!$B$8</f>
        <v>2.5824999999999996</v>
      </c>
      <c r="O188" s="37">
        <f>AG188/100*Parametreler!$B$9</f>
        <v>1.5</v>
      </c>
      <c r="P188" s="36">
        <f>SUM(M188:O188)</f>
        <v>6.2272499999999997</v>
      </c>
      <c r="Q188" s="38">
        <f>VLOOKUP($A188,'Yaş Boya Listesi'!$B$6:$L$131,11,FALSE())</f>
        <v>6</v>
      </c>
      <c r="R188" s="37">
        <f>IF(E188="Kataforez",N(Q188),IF(E188="Yaş boya",Parametreler!$B$10/MAX(1,ROUND(IF(ISNUMBER(Q188),Q188,Parametreler!$B$11),0)),0))</f>
        <v>13.333333333333334</v>
      </c>
      <c r="S188" s="36">
        <f>L188+P188+R188</f>
        <v>25.599305061510513</v>
      </c>
      <c r="T188" s="39">
        <f>IF(S188=0,0,L188/S188)</f>
        <v>0.2358939710928567</v>
      </c>
      <c r="U188" s="39">
        <f>IF(S188=0,0,P188/S188)</f>
        <v>0.24325855663023044</v>
      </c>
      <c r="V188" s="39">
        <f>IF(S188=0,0,R188/S188)</f>
        <v>0.52084747227691297</v>
      </c>
      <c r="W188" s="40">
        <f>SUM(AE188:AG188)/100*F188</f>
        <v>0.31136249999999999</v>
      </c>
      <c r="X188" s="37">
        <f>IF($G188=0,0,J188/$G188)</f>
        <v>0.92363440320850121</v>
      </c>
      <c r="Y188" s="37">
        <f>IF($G188=0,0,S188/$G188)</f>
        <v>3.9154642186464534</v>
      </c>
      <c r="Z188" s="41">
        <f>IF($G188=0,0,L188/$G188)</f>
        <v>0.92363440320850121</v>
      </c>
      <c r="AA188" s="36">
        <f>S188*Parametreler!$B$12</f>
        <v>36.607006237960036</v>
      </c>
      <c r="AB188" s="42">
        <f>AA188*F188</f>
        <v>36.607006237960036</v>
      </c>
      <c r="AC188" s="43"/>
      <c r="AD188" s="30" t="s">
        <v>91</v>
      </c>
      <c r="AE188" s="44">
        <f>INDEX('İşçilik Özet'!$W$6:$W$200,MATCH($A188&amp;"",'İşçilik Özet'!$A$6:$A$200,0))</f>
        <v>10.723750000000001</v>
      </c>
      <c r="AF188" s="44">
        <f>INDEX('İşçilik Özet'!$X$6:$X$200,MATCH($A188&amp;"",'İşçilik Özet'!$A$6:$A$200,0))</f>
        <v>12.9125</v>
      </c>
      <c r="AG188" s="44">
        <f>INDEX('İşçilik Özet'!$Y$6:$Y$200,MATCH($A188&amp;"",'İşçilik Özet'!$A$6:$A$200,0))</f>
        <v>7.5</v>
      </c>
      <c r="AH188" s="45">
        <f>(L188+P188)*F188+IF(E188="Kataforez",N(Q188)*F188,IF(E188="Yaş boya",ROUNDUP(F188/MAX(1,ROUND(IF(ISNUMBER(Q188),Q188,Parametreler!$B$11),0)),0)*Parametreler!$B$10,0))</f>
        <v>92.265971728177178</v>
      </c>
    </row>
    <row r="189" spans="1:34" ht="15" customHeight="1" x14ac:dyDescent="0.25">
      <c r="A189" s="237">
        <v>235832</v>
      </c>
      <c r="B189" s="237" t="s">
        <v>368</v>
      </c>
      <c r="C189" s="30" t="s">
        <v>151</v>
      </c>
      <c r="D189" s="30" t="s">
        <v>23</v>
      </c>
      <c r="E189" s="30" t="s">
        <v>94</v>
      </c>
      <c r="F189" s="31">
        <v>1</v>
      </c>
      <c r="G189" s="32">
        <v>19.721</v>
      </c>
      <c r="H189" s="33">
        <f>INDEX('Sac Özet'!$L$5:$L$199,MATCH($A189&amp;"",'Sac Özet'!$A$5:$A$199,0))</f>
        <v>3.2969999999999993</v>
      </c>
      <c r="I189" s="33">
        <f>INDEX('Sac Özet'!$M$5:$M$199,MATCH($A189&amp;"",'Sac Özet'!$A$5:$A$199,0))</f>
        <v>0.15307499999999988</v>
      </c>
      <c r="J189" s="34">
        <f>INDEX('Sac Özet'!$N$5:$N$199,MATCH($A189&amp;"",'Sac Özet'!$A$5:$A$199,0))</f>
        <v>2.5875027272727276</v>
      </c>
      <c r="K189" s="35">
        <f>SUMPRODUCT((--'Satınalma Parçaları'!$A$2:$A$107=--$A189)*'Satınalma Parçaları'!$L$2:$L$107)</f>
        <v>0</v>
      </c>
      <c r="L189" s="36">
        <f>J189+N(K189)</f>
        <v>2.5875027272727276</v>
      </c>
      <c r="M189" s="37">
        <f>AE189/100*Parametreler!$B$7</f>
        <v>0</v>
      </c>
      <c r="N189" s="37">
        <f>AF189/100*Parametreler!$B$8</f>
        <v>3.5825</v>
      </c>
      <c r="O189" s="37">
        <f>AG189/100*Parametreler!$B$9</f>
        <v>2.3199999999999998</v>
      </c>
      <c r="P189" s="36">
        <f>SUM(M189:O189)</f>
        <v>5.9024999999999999</v>
      </c>
      <c r="Q189" s="38">
        <f>IFERROR(INDEX('Kataforez Teklifleri'!$G$6:$G$50,MATCH($A189&amp;"",'Kataforez Teklifleri'!$A$6:$A$50,0)),"")</f>
        <v>15.86</v>
      </c>
      <c r="R189" s="37">
        <f>IF(E189="Kataforez",N(Q189),IF(E189="Yaş boya",Parametreler!$B$10/MAX(1,ROUND(IF(ISNUMBER(Q189),Q189,Parametreler!$B$11),0)),0))</f>
        <v>15.86</v>
      </c>
      <c r="S189" s="36">
        <f>L189+P189+R189</f>
        <v>24.350002727272727</v>
      </c>
      <c r="T189" s="39">
        <f>IF(S189=0,0,L189/S189)</f>
        <v>0.10626293377678547</v>
      </c>
      <c r="U189" s="39">
        <f>IF(S189=0,0,P189/S189)</f>
        <v>0.24240243691591148</v>
      </c>
      <c r="V189" s="39">
        <f>IF(S189=0,0,R189/S189)</f>
        <v>0.65133462930730301</v>
      </c>
      <c r="W189" s="40">
        <f>SUM(AE189:AG189)/100*F189</f>
        <v>0.29512500000000003</v>
      </c>
      <c r="X189" s="37">
        <f>IF($G189=0,0,J189/$G189)</f>
        <v>0.13120545242496465</v>
      </c>
      <c r="Y189" s="37">
        <f>IF($G189=0,0,S189/$G189)</f>
        <v>1.234724543748934</v>
      </c>
      <c r="Z189" s="41">
        <f>IF($G189=0,0,L189/$G189)</f>
        <v>0.13120545242496465</v>
      </c>
      <c r="AA189" s="36">
        <f>S189*Parametreler!$B$12</f>
        <v>34.820503899999999</v>
      </c>
      <c r="AB189" s="42">
        <f>AA189*F189</f>
        <v>34.820503899999999</v>
      </c>
      <c r="AC189" s="43" t="s">
        <v>369</v>
      </c>
      <c r="AD189" s="30" t="s">
        <v>2368</v>
      </c>
      <c r="AE189" s="44">
        <f>INDEX('İşçilik Özet'!$W$6:$W$200,MATCH($A189&amp;"",'İşçilik Özet'!$A$6:$A$200,0))</f>
        <v>0</v>
      </c>
      <c r="AF189" s="44">
        <f>INDEX('İşçilik Özet'!$X$6:$X$200,MATCH($A189&amp;"",'İşçilik Özet'!$A$6:$A$200,0))</f>
        <v>17.912500000000001</v>
      </c>
      <c r="AG189" s="44">
        <f>INDEX('İşçilik Özet'!$Y$6:$Y$200,MATCH($A189&amp;"",'İşçilik Özet'!$A$6:$A$200,0))</f>
        <v>11.6</v>
      </c>
      <c r="AH189" s="45">
        <f>(L189+P189)*F189+IF(E189="Kataforez",N(Q189)*F189,IF(E189="Yaş boya",ROUNDUP(F189/MAX(1,ROUND(IF(ISNUMBER(Q189),Q189,Parametreler!$B$11),0)),0)*Parametreler!$B$10,0))</f>
        <v>24.350002727272727</v>
      </c>
    </row>
    <row r="190" spans="1:34" ht="15" customHeight="1" x14ac:dyDescent="0.25">
      <c r="A190" s="30">
        <v>1216265</v>
      </c>
      <c r="B190" s="30" t="s">
        <v>362</v>
      </c>
      <c r="C190" s="30" t="s">
        <v>139</v>
      </c>
      <c r="D190" s="30" t="s">
        <v>23</v>
      </c>
      <c r="E190" s="30" t="s">
        <v>124</v>
      </c>
      <c r="F190" s="31">
        <v>3</v>
      </c>
      <c r="G190" s="32">
        <v>4.048</v>
      </c>
      <c r="H190" s="33">
        <f>INDEX('Sac Özet'!$L$5:$L$199,MATCH($A190&amp;"",'Sac Özet'!$A$5:$A$199,0))</f>
        <v>5.1040604025626752</v>
      </c>
      <c r="I190" s="33">
        <f>INDEX('Sac Özet'!$M$5:$M$199,MATCH($A190&amp;"",'Sac Özet'!$A$5:$A$199,0))</f>
        <v>1.0560509025626754</v>
      </c>
      <c r="J190" s="34">
        <f>INDEX('Sac Özet'!$N$5:$N$199,MATCH($A190&amp;"",'Sac Özet'!$A$5:$A$199,0))</f>
        <v>3.7376316630296285</v>
      </c>
      <c r="K190" s="35">
        <f>SUMPRODUCT((--'Satınalma Parçaları'!$A$2:$A$107=--$A190)*'Satınalma Parçaları'!$L$2:$L$107)</f>
        <v>0</v>
      </c>
      <c r="L190" s="36">
        <f>J190+N(K190)</f>
        <v>3.7376316630296285</v>
      </c>
      <c r="M190" s="37">
        <f>AE190/100*Parametreler!$B$7</f>
        <v>2.2309999999999999</v>
      </c>
      <c r="N190" s="37">
        <f>AF190/100*Parametreler!$B$8</f>
        <v>1.8325</v>
      </c>
      <c r="O190" s="37">
        <f>AG190/100*Parametreler!$B$9</f>
        <v>0.56799999999999995</v>
      </c>
      <c r="P190" s="36">
        <f>SUM(M190:O190)</f>
        <v>4.6314999999999991</v>
      </c>
      <c r="Q190" s="47"/>
      <c r="R190" s="37">
        <f>IF(E190="Kataforez",N(Q190),IF(E190="Yaş boya",Parametreler!$B$10/MAX(1,ROUND(IF(ISNUMBER(Q190),Q190,Parametreler!$B$11),0)),0))</f>
        <v>0</v>
      </c>
      <c r="S190" s="36">
        <f>L190+P190+R190</f>
        <v>8.3691316630296271</v>
      </c>
      <c r="T190" s="39">
        <f>IF(S190=0,0,L190/S190)</f>
        <v>0.44659730704685857</v>
      </c>
      <c r="U190" s="39">
        <f>IF(S190=0,0,P190/S190)</f>
        <v>0.55340269295314148</v>
      </c>
      <c r="V190" s="39">
        <f>IF(S190=0,0,R190/S190)</f>
        <v>0</v>
      </c>
      <c r="W190" s="40">
        <f>SUM(AE190:AG190)/100*F190</f>
        <v>0.69472499999999981</v>
      </c>
      <c r="X190" s="37">
        <f>IF($G190=0,0,J190/$G190)</f>
        <v>0.92332797999743788</v>
      </c>
      <c r="Y190" s="37">
        <f>IF($G190=0,0,S190/$G190)</f>
        <v>2.0674732369144335</v>
      </c>
      <c r="Z190" s="41">
        <f>IF($G190=0,0,L190/$G190)</f>
        <v>0.92332797999743788</v>
      </c>
      <c r="AA190" s="36">
        <f>S190*Parametreler!$B$12</f>
        <v>11.967858278132367</v>
      </c>
      <c r="AB190" s="42">
        <f>AA190*F190</f>
        <v>35.903574834397098</v>
      </c>
      <c r="AC190" s="43"/>
      <c r="AD190" s="30" t="s">
        <v>91</v>
      </c>
      <c r="AE190" s="44">
        <f>INDEX('İşçilik Özet'!$W$6:$W$200,MATCH($A190&amp;"",'İşçilik Özet'!$A$6:$A$200,0))</f>
        <v>11.154999999999998</v>
      </c>
      <c r="AF190" s="44">
        <f>INDEX('İşçilik Özet'!$X$6:$X$200,MATCH($A190&amp;"",'İşçilik Özet'!$A$6:$A$200,0))</f>
        <v>9.1624999999999996</v>
      </c>
      <c r="AG190" s="44">
        <f>INDEX('İşçilik Özet'!$Y$6:$Y$200,MATCH($A190&amp;"",'İşçilik Özet'!$A$6:$A$200,0))</f>
        <v>2.84</v>
      </c>
      <c r="AH190" s="45">
        <f>(L190+P190)*F190+IF(E190="Kataforez",N(Q190)*F190,IF(E190="Yaş boya",ROUNDUP(F190/MAX(1,ROUND(IF(ISNUMBER(Q190),Q190,Parametreler!$B$11),0)),0)*Parametreler!$B$10,0))</f>
        <v>25.107394989088881</v>
      </c>
    </row>
    <row r="191" spans="1:34" ht="15" customHeight="1" x14ac:dyDescent="0.25">
      <c r="A191" s="237">
        <v>713969</v>
      </c>
      <c r="B191" s="237" t="s">
        <v>372</v>
      </c>
      <c r="C191" s="30" t="s">
        <v>99</v>
      </c>
      <c r="D191" s="30" t="s">
        <v>23</v>
      </c>
      <c r="E191" s="30" t="s">
        <v>124</v>
      </c>
      <c r="F191" s="31">
        <v>5</v>
      </c>
      <c r="G191" s="32">
        <v>17.965</v>
      </c>
      <c r="H191" s="33">
        <f>INDEX('Sac Özet'!$L$5:$L$199,MATCH($A191&amp;"",'Sac Özet'!$A$5:$A$199,0))</f>
        <v>1.4756085365853657</v>
      </c>
      <c r="I191" s="33">
        <f>INDEX('Sac Özet'!$M$5:$M$199,MATCH($A191&amp;"",'Sac Özet'!$A$5:$A$199,0))</f>
        <v>0.26560953658536579</v>
      </c>
      <c r="J191" s="34">
        <f>INDEX('Sac Özet'!$N$5:$N$199,MATCH($A191&amp;"",'Sac Özet'!$A$5:$A$199,0))</f>
        <v>1.0935600718403546</v>
      </c>
      <c r="K191" s="35">
        <f>SUMPRODUCT((--'Satınalma Parçaları'!$A$2:$A$107=--$A191)*'Satınalma Parçaları'!$L$2:$L$107)</f>
        <v>2.7610909090909059</v>
      </c>
      <c r="L191" s="36">
        <f>J191+N(K191)</f>
        <v>3.8546509809312606</v>
      </c>
      <c r="M191" s="37">
        <f>AE191/100*Parametreler!$B$7</f>
        <v>0</v>
      </c>
      <c r="N191" s="37">
        <f>AF191/100*Parametreler!$B$8</f>
        <v>0.83249999999999991</v>
      </c>
      <c r="O191" s="37">
        <f>AG191/100*Parametreler!$B$9</f>
        <v>0</v>
      </c>
      <c r="P191" s="36">
        <f>SUM(M191:O191)</f>
        <v>0.83249999999999991</v>
      </c>
      <c r="Q191" s="47"/>
      <c r="R191" s="37">
        <f>IF(E191="Kataforez",N(Q191),IF(E191="Yaş boya",Parametreler!$B$10/MAX(1,ROUND(IF(ISNUMBER(Q191),Q191,Parametreler!$B$11),0)),0))</f>
        <v>0</v>
      </c>
      <c r="S191" s="36">
        <f>L191+P191+R191</f>
        <v>4.6871509809312606</v>
      </c>
      <c r="T191" s="39">
        <f>IF(S191=0,0,L191/S191)</f>
        <v>0.82238677538085281</v>
      </c>
      <c r="U191" s="39">
        <f>IF(S191=0,0,P191/S191)</f>
        <v>0.17761322461914716</v>
      </c>
      <c r="V191" s="39">
        <f>IF(S191=0,0,R191/S191)</f>
        <v>0</v>
      </c>
      <c r="W191" s="40">
        <f>SUM(AE191:AG191)/100*F191</f>
        <v>0.20812499999999998</v>
      </c>
      <c r="X191" s="37">
        <f>IF($G191=0,0,J191/$G191)</f>
        <v>6.0871698961333404E-2</v>
      </c>
      <c r="Y191" s="37">
        <f>IF($G191=0,0,S191/$G191)</f>
        <v>0.26090459120129478</v>
      </c>
      <c r="Z191" s="41">
        <f>IF($G191=0,0,L191/$G191)</f>
        <v>0.21456448544009243</v>
      </c>
      <c r="AA191" s="36">
        <f>S191*Parametreler!$B$12</f>
        <v>6.7026259027317021</v>
      </c>
      <c r="AB191" s="42">
        <f>AA191*F191</f>
        <v>33.513129513658512</v>
      </c>
      <c r="AC191" s="43" t="s">
        <v>373</v>
      </c>
      <c r="AD191" s="30" t="s">
        <v>2368</v>
      </c>
      <c r="AE191" s="44">
        <f>INDEX('İşçilik Özet'!$W$6:$W$200,MATCH($A191&amp;"",'İşçilik Özet'!$A$6:$A$200,0))</f>
        <v>0</v>
      </c>
      <c r="AF191" s="44">
        <f>INDEX('İşçilik Özet'!$X$6:$X$200,MATCH($A191&amp;"",'İşçilik Özet'!$A$6:$A$200,0))</f>
        <v>4.1624999999999996</v>
      </c>
      <c r="AG191" s="44">
        <f>INDEX('İşçilik Özet'!$Y$6:$Y$200,MATCH($A191&amp;"",'İşçilik Özet'!$A$6:$A$200,0))</f>
        <v>0</v>
      </c>
      <c r="AH191" s="45">
        <f>(L191+P191)*F191+IF(E191="Kataforez",N(Q191)*F191,IF(E191="Yaş boya",ROUNDUP(F191/MAX(1,ROUND(IF(ISNUMBER(Q191),Q191,Parametreler!$B$11),0)),0)*Parametreler!$B$10,0))</f>
        <v>23.435754904656303</v>
      </c>
    </row>
    <row r="192" spans="1:34" ht="15" customHeight="1" x14ac:dyDescent="0.25">
      <c r="A192" s="30">
        <v>238048</v>
      </c>
      <c r="B192" s="30" t="s">
        <v>304</v>
      </c>
      <c r="C192" s="30" t="s">
        <v>194</v>
      </c>
      <c r="D192" s="30" t="s">
        <v>23</v>
      </c>
      <c r="E192" s="30" t="s">
        <v>86</v>
      </c>
      <c r="F192" s="31">
        <v>1</v>
      </c>
      <c r="G192" s="32">
        <v>6.0830000000000002</v>
      </c>
      <c r="H192" s="33">
        <f>INDEX('Sac Özet'!$L$5:$L$199,MATCH($A192&amp;"",'Sac Özet'!$A$5:$A$199,0))</f>
        <v>7.4184031707317075</v>
      </c>
      <c r="I192" s="33">
        <f>INDEX('Sac Özet'!$M$5:$M$199,MATCH($A192&amp;"",'Sac Özet'!$A$5:$A$199,0))</f>
        <v>1.3353125707317064</v>
      </c>
      <c r="J192" s="34">
        <f>INDEX('Sac Özet'!$N$5:$N$199,MATCH($A192&amp;"",'Sac Özet'!$A$5:$A$199,0))</f>
        <v>5.497711149800443</v>
      </c>
      <c r="K192" s="35">
        <f>SUMPRODUCT((--'Satınalma Parçaları'!$A$2:$A$107=--$A192)*'Satınalma Parçaları'!$L$2:$L$107)</f>
        <v>0</v>
      </c>
      <c r="L192" s="36">
        <f>J192+N(K192)</f>
        <v>5.497711149800443</v>
      </c>
      <c r="M192" s="37">
        <f>AE192/100*Parametreler!$B$7</f>
        <v>0</v>
      </c>
      <c r="N192" s="37">
        <f>AF192/100*Parametreler!$B$8</f>
        <v>4.0824999999999996</v>
      </c>
      <c r="O192" s="37">
        <f>AG192/100*Parametreler!$B$9</f>
        <v>4.1344000000000003</v>
      </c>
      <c r="P192" s="36">
        <f>SUM(M192:O192)</f>
        <v>8.216899999999999</v>
      </c>
      <c r="Q192" s="38">
        <f>VLOOKUP($A192,'Yaş Boya Listesi'!$B$6:$L$131,11,FALSE())</f>
        <v>10</v>
      </c>
      <c r="R192" s="37">
        <f>IF(E192="Kataforez",N(Q192),IF(E192="Yaş boya",Parametreler!$B$10/MAX(1,ROUND(IF(ISNUMBER(Q192),Q192,Parametreler!$B$11),0)),0))</f>
        <v>8</v>
      </c>
      <c r="S192" s="36">
        <f>L192+P192+R192</f>
        <v>21.71461114980044</v>
      </c>
      <c r="T192" s="39">
        <f>IF(S192=0,0,L192/S192)</f>
        <v>0.25318027165551926</v>
      </c>
      <c r="U192" s="39">
        <f>IF(S192=0,0,P192/S192)</f>
        <v>0.37840419721609952</v>
      </c>
      <c r="V192" s="39">
        <f>IF(S192=0,0,R192/S192)</f>
        <v>0.36841553112838132</v>
      </c>
      <c r="W192" s="40">
        <f>SUM(AE192:AG192)/100*F192</f>
        <v>0.41084499999999996</v>
      </c>
      <c r="X192" s="37">
        <f>IF($G192=0,0,J192/$G192)</f>
        <v>0.90378286204182845</v>
      </c>
      <c r="Y192" s="37">
        <f>IF($G192=0,0,S192/$G192)</f>
        <v>3.5697207216505737</v>
      </c>
      <c r="Z192" s="41">
        <f>IF($G192=0,0,L192/$G192)</f>
        <v>0.90378286204182845</v>
      </c>
      <c r="AA192" s="36">
        <f>S192*Parametreler!$B$12</f>
        <v>31.05189394421463</v>
      </c>
      <c r="AB192" s="42">
        <f>AA192*F192</f>
        <v>31.05189394421463</v>
      </c>
      <c r="AC192" s="43"/>
      <c r="AD192" s="30" t="s">
        <v>91</v>
      </c>
      <c r="AE192" s="44">
        <f>INDEX('İşçilik Özet'!$W$6:$W$200,MATCH($A192&amp;"",'İşçilik Özet'!$A$6:$A$200,0))</f>
        <v>0</v>
      </c>
      <c r="AF192" s="44">
        <f>INDEX('İşçilik Özet'!$X$6:$X$200,MATCH($A192&amp;"",'İşçilik Özet'!$A$6:$A$200,0))</f>
        <v>20.412499999999998</v>
      </c>
      <c r="AG192" s="44">
        <f>INDEX('İşçilik Özet'!$Y$6:$Y$200,MATCH($A192&amp;"",'İşçilik Özet'!$A$6:$A$200,0))</f>
        <v>20.672000000000001</v>
      </c>
      <c r="AH192" s="45">
        <f>(L192+P192)*F192+IF(E192="Kataforez",N(Q192)*F192,IF(E192="Yaş boya",ROUNDUP(F192/MAX(1,ROUND(IF(ISNUMBER(Q192),Q192,Parametreler!$B$11),0)),0)*Parametreler!$B$10,0))</f>
        <v>93.714611149800447</v>
      </c>
    </row>
    <row r="193" spans="1:34" ht="15" customHeight="1" x14ac:dyDescent="0.25">
      <c r="A193" s="30">
        <v>379461</v>
      </c>
      <c r="B193" s="30" t="s">
        <v>314</v>
      </c>
      <c r="C193" s="30" t="s">
        <v>156</v>
      </c>
      <c r="D193" s="30" t="s">
        <v>23</v>
      </c>
      <c r="E193" s="30" t="s">
        <v>86</v>
      </c>
      <c r="F193" s="31">
        <v>1</v>
      </c>
      <c r="G193" s="32">
        <v>4.2750000000000004</v>
      </c>
      <c r="H193" s="33">
        <f>INDEX('Sac Özet'!$L$5:$L$199,MATCH($A193&amp;"",'Sac Özet'!$A$5:$A$199,0))</f>
        <v>0.92436621951219511</v>
      </c>
      <c r="I193" s="33">
        <f>INDEX('Sac Özet'!$M$5:$M$199,MATCH($A193&amp;"",'Sac Özet'!$A$5:$A$199,0))</f>
        <v>0.16638591951219509</v>
      </c>
      <c r="J193" s="34">
        <f>INDEX('Sac Özet'!$N$5:$N$199,MATCH($A193&amp;"",'Sac Özet'!$A$5:$A$199,0))</f>
        <v>0.6850394019512196</v>
      </c>
      <c r="K193" s="35">
        <f>SUMPRODUCT((--'Satınalma Parçaları'!$A$2:$A$107=--$A193)*'Satınalma Parçaları'!$L$2:$L$107)</f>
        <v>2.34</v>
      </c>
      <c r="L193" s="36">
        <f>J193+N(K193)</f>
        <v>3.0250394019512195</v>
      </c>
      <c r="M193" s="37">
        <f>AE193/100*Parametreler!$B$7</f>
        <v>0</v>
      </c>
      <c r="N193" s="37">
        <f>AF193/100*Parametreler!$B$8</f>
        <v>2.3325</v>
      </c>
      <c r="O193" s="37">
        <f>AG193/100*Parametreler!$B$9</f>
        <v>1.1586000000000001</v>
      </c>
      <c r="P193" s="36">
        <f>SUM(M193:O193)</f>
        <v>3.4911000000000003</v>
      </c>
      <c r="Q193" s="38">
        <f>VLOOKUP($A193,'Yaş Boya Listesi'!$B$6:$L$131,11,FALSE())</f>
        <v>6</v>
      </c>
      <c r="R193" s="37">
        <f>IF(E193="Kataforez",N(Q193),IF(E193="Yaş boya",Parametreler!$B$10/MAX(1,ROUND(IF(ISNUMBER(Q193),Q193,Parametreler!$B$11),0)),0))</f>
        <v>13.333333333333334</v>
      </c>
      <c r="S193" s="36">
        <f>L193+P193+R193</f>
        <v>19.849472735284554</v>
      </c>
      <c r="T193" s="39">
        <f>IF(S193=0,0,L193/S193)</f>
        <v>0.15239898017915052</v>
      </c>
      <c r="U193" s="39">
        <f>IF(S193=0,0,P193/S193)</f>
        <v>0.17587872718624903</v>
      </c>
      <c r="V193" s="39">
        <f>IF(S193=0,0,R193/S193)</f>
        <v>0.67172229263460048</v>
      </c>
      <c r="W193" s="40">
        <f>SUM(AE193:AG193)/100*F193</f>
        <v>0.17455500000000002</v>
      </c>
      <c r="X193" s="37">
        <f>IF($G193=0,0,J193/$G193)</f>
        <v>0.16024313495934961</v>
      </c>
      <c r="Y193" s="37">
        <f>IF($G193=0,0,S193/$G193)</f>
        <v>4.6431515170256263</v>
      </c>
      <c r="Z193" s="41">
        <f>IF($G193=0,0,L193/$G193)</f>
        <v>0.70761155601198111</v>
      </c>
      <c r="AA193" s="36">
        <f>S193*Parametreler!$B$12</f>
        <v>28.384746011456912</v>
      </c>
      <c r="AB193" s="42">
        <f>AA193*F193</f>
        <v>28.384746011456912</v>
      </c>
      <c r="AC193" s="43" t="s">
        <v>315</v>
      </c>
      <c r="AD193" s="30" t="s">
        <v>96</v>
      </c>
      <c r="AE193" s="44">
        <f>INDEX('İşçilik Özet'!$W$6:$W$200,MATCH($A193&amp;"",'İşçilik Özet'!$A$6:$A$200,0))</f>
        <v>0</v>
      </c>
      <c r="AF193" s="44">
        <f>INDEX('İşçilik Özet'!$X$6:$X$200,MATCH($A193&amp;"",'İşçilik Özet'!$A$6:$A$200,0))</f>
        <v>11.6625</v>
      </c>
      <c r="AG193" s="44">
        <f>INDEX('İşçilik Özet'!$Y$6:$Y$200,MATCH($A193&amp;"",'İşçilik Özet'!$A$6:$A$200,0))</f>
        <v>5.7930000000000001</v>
      </c>
      <c r="AH193" s="45">
        <f>(L193+P193)*F193+IF(E193="Kataforez",N(Q193)*F193,IF(E193="Yaş boya",ROUNDUP(F193/MAX(1,ROUND(IF(ISNUMBER(Q193),Q193,Parametreler!$B$11),0)),0)*Parametreler!$B$10,0))</f>
        <v>86.516139401951222</v>
      </c>
    </row>
    <row r="194" spans="1:34" ht="15" customHeight="1" x14ac:dyDescent="0.25">
      <c r="A194" s="30">
        <v>241116</v>
      </c>
      <c r="B194" s="30" t="s">
        <v>316</v>
      </c>
      <c r="C194" s="30" t="s">
        <v>119</v>
      </c>
      <c r="D194" s="30" t="s">
        <v>23</v>
      </c>
      <c r="E194" s="30" t="s">
        <v>86</v>
      </c>
      <c r="F194" s="31">
        <v>1</v>
      </c>
      <c r="G194" s="32">
        <v>3.2959999999999998</v>
      </c>
      <c r="H194" s="33">
        <f>INDEX('Sac Özet'!$L$5:$L$199,MATCH($A194&amp;"",'Sac Özet'!$A$5:$A$199,0))</f>
        <v>2.0146546341463409</v>
      </c>
      <c r="I194" s="33">
        <f>INDEX('Sac Özet'!$M$5:$M$199,MATCH($A194&amp;"",'Sac Özet'!$A$5:$A$199,0))</f>
        <v>0.36263783414634115</v>
      </c>
      <c r="J194" s="34">
        <f>INDEX('Sac Özet'!$N$5:$N$199,MATCH($A194&amp;"",'Sac Özet'!$A$5:$A$199,0))</f>
        <v>1.4930422343237248</v>
      </c>
      <c r="K194" s="35">
        <f>SUMPRODUCT((--'Satınalma Parçaları'!$A$2:$A$107=--$A194)*'Satınalma Parçaları'!$L$2:$L$107)</f>
        <v>1.36</v>
      </c>
      <c r="L194" s="36">
        <f>J194+N(K194)</f>
        <v>2.8530422343237252</v>
      </c>
      <c r="M194" s="37">
        <f>AE194/100*Parametreler!$B$7</f>
        <v>0</v>
      </c>
      <c r="N194" s="37">
        <f>AF194/100*Parametreler!$B$8</f>
        <v>1.5825</v>
      </c>
      <c r="O194" s="37">
        <f>AG194/100*Parametreler!$B$9</f>
        <v>0.90399999999999991</v>
      </c>
      <c r="P194" s="36">
        <f>SUM(M194:O194)</f>
        <v>2.4864999999999999</v>
      </c>
      <c r="Q194" s="38">
        <f>VLOOKUP($A194,'Yaş Boya Listesi'!$B$6:$L$131,11,FALSE())</f>
        <v>10</v>
      </c>
      <c r="R194" s="37">
        <f>IF(E194="Kataforez",N(Q194),IF(E194="Yaş boya",Parametreler!$B$10/MAX(1,ROUND(IF(ISNUMBER(Q194),Q194,Parametreler!$B$11),0)),0))</f>
        <v>8</v>
      </c>
      <c r="S194" s="36">
        <f>L194+P194+R194</f>
        <v>13.339542234323725</v>
      </c>
      <c r="T194" s="39">
        <f>IF(S194=0,0,L194/S194)</f>
        <v>0.21387857125881096</v>
      </c>
      <c r="U194" s="39">
        <f>IF(S194=0,0,P194/S194)</f>
        <v>0.18640069923854161</v>
      </c>
      <c r="V194" s="39">
        <f>IF(S194=0,0,R194/S194)</f>
        <v>0.59972072950264743</v>
      </c>
      <c r="W194" s="40">
        <f>SUM(AE194:AG194)/100*F194</f>
        <v>0.12432499999999999</v>
      </c>
      <c r="X194" s="37">
        <f>IF($G194=0,0,J194/$G194)</f>
        <v>0.45298611478268352</v>
      </c>
      <c r="Y194" s="37">
        <f>IF($G194=0,0,S194/$G194)</f>
        <v>4.0471912118700626</v>
      </c>
      <c r="Z194" s="41">
        <f>IF($G194=0,0,L194/$G194)</f>
        <v>0.86560747400598459</v>
      </c>
      <c r="AA194" s="36">
        <f>S194*Parametreler!$B$12</f>
        <v>19.075545395082926</v>
      </c>
      <c r="AB194" s="42">
        <f>AA194*F194</f>
        <v>19.075545395082926</v>
      </c>
      <c r="AC194" s="43" t="s">
        <v>317</v>
      </c>
      <c r="AD194" s="30" t="s">
        <v>96</v>
      </c>
      <c r="AE194" s="44">
        <f>INDEX('İşçilik Özet'!$W$6:$W$200,MATCH($A194&amp;"",'İşçilik Özet'!$A$6:$A$200,0))</f>
        <v>0</v>
      </c>
      <c r="AF194" s="44">
        <f>INDEX('İşçilik Özet'!$X$6:$X$200,MATCH($A194&amp;"",'İşçilik Özet'!$A$6:$A$200,0))</f>
        <v>7.9124999999999996</v>
      </c>
      <c r="AG194" s="44">
        <f>INDEX('İşçilik Özet'!$Y$6:$Y$200,MATCH($A194&amp;"",'İşçilik Özet'!$A$6:$A$200,0))</f>
        <v>4.5199999999999996</v>
      </c>
      <c r="AH194" s="45">
        <f>(L194+P194)*F194+IF(E194="Kataforez",N(Q194)*F194,IF(E194="Yaş boya",ROUNDUP(F194/MAX(1,ROUND(IF(ISNUMBER(Q194),Q194,Parametreler!$B$11),0)),0)*Parametreler!$B$10,0))</f>
        <v>85.33954223432373</v>
      </c>
    </row>
    <row r="195" spans="1:34" ht="15" customHeight="1" x14ac:dyDescent="0.25">
      <c r="A195" s="30">
        <v>189224</v>
      </c>
      <c r="B195" s="30" t="s">
        <v>312</v>
      </c>
      <c r="C195" s="30" t="s">
        <v>117</v>
      </c>
      <c r="D195" s="30" t="s">
        <v>23</v>
      </c>
      <c r="E195" s="30" t="s">
        <v>86</v>
      </c>
      <c r="F195" s="31">
        <v>2</v>
      </c>
      <c r="G195" s="32">
        <v>0.78800000000000003</v>
      </c>
      <c r="H195" s="33">
        <f>INDEX('Sac Özet'!$L$5:$L$199,MATCH($A195&amp;"",'Sac Özet'!$A$5:$A$199,0))</f>
        <v>0.65939999999999988</v>
      </c>
      <c r="I195" s="33">
        <f>INDEX('Sac Özet'!$M$5:$M$199,MATCH($A195&amp;"",'Sac Özet'!$A$5:$A$199,0))</f>
        <v>3.0614999999999976E-2</v>
      </c>
      <c r="J195" s="34">
        <f>INDEX('Sac Özet'!$N$5:$N$199,MATCH($A195&amp;"",'Sac Özet'!$A$5:$A$199,0))</f>
        <v>0.51750054545454549</v>
      </c>
      <c r="K195" s="35">
        <f>SUMPRODUCT((--'Satınalma Parçaları'!$A$2:$A$107=--$A195)*'Satınalma Parçaları'!$L$2:$L$107)</f>
        <v>0</v>
      </c>
      <c r="L195" s="36">
        <f>J195+N(K195)</f>
        <v>0.51750054545454549</v>
      </c>
      <c r="M195" s="37">
        <f>AE195/100*Parametreler!$B$7</f>
        <v>0</v>
      </c>
      <c r="N195" s="37">
        <f>AF195/100*Parametreler!$B$8</f>
        <v>1.5825</v>
      </c>
      <c r="O195" s="37">
        <f>AG195/100*Parametreler!$B$9</f>
        <v>0.45199999999999996</v>
      </c>
      <c r="P195" s="36">
        <f>SUM(M195:O195)</f>
        <v>2.0345</v>
      </c>
      <c r="Q195" s="38">
        <f>VLOOKUP($A195,'Yaş Boya Listesi'!$B$6:$L$131,11,FALSE())</f>
        <v>20</v>
      </c>
      <c r="R195" s="37">
        <f>IF(E195="Kataforez",N(Q195),IF(E195="Yaş boya",Parametreler!$B$10/MAX(1,ROUND(IF(ISNUMBER(Q195),Q195,Parametreler!$B$11),0)),0))</f>
        <v>4</v>
      </c>
      <c r="S195" s="36">
        <f>L195+P195+R195</f>
        <v>6.5520005454545451</v>
      </c>
      <c r="T195" s="39">
        <f>IF(S195=0,0,L195/S195)</f>
        <v>7.8983593158209034E-2</v>
      </c>
      <c r="U195" s="39">
        <f>IF(S195=0,0,P195/S195)</f>
        <v>0.31051584716540293</v>
      </c>
      <c r="V195" s="39">
        <f>IF(S195=0,0,R195/S195)</f>
        <v>0.61050055967638817</v>
      </c>
      <c r="W195" s="40">
        <f>SUM(AE195:AG195)/100*F195</f>
        <v>0.20344999999999999</v>
      </c>
      <c r="X195" s="37">
        <f>IF($G195=0,0,J195/$G195)</f>
        <v>0.65672658052607291</v>
      </c>
      <c r="Y195" s="37">
        <f>IF($G195=0,0,S195/$G195)</f>
        <v>8.3147215043839395</v>
      </c>
      <c r="Z195" s="41">
        <f>IF($G195=0,0,L195/$G195)</f>
        <v>0.65672658052607291</v>
      </c>
      <c r="AA195" s="36">
        <f>S195*Parametreler!$B$12</f>
        <v>9.3693607799999992</v>
      </c>
      <c r="AB195" s="42">
        <f>AA195*F195</f>
        <v>18.738721559999998</v>
      </c>
      <c r="AC195" s="43" t="s">
        <v>313</v>
      </c>
      <c r="AD195" s="30" t="s">
        <v>96</v>
      </c>
      <c r="AE195" s="44">
        <f>INDEX('İşçilik Özet'!$W$6:$W$200,MATCH($A195&amp;"",'İşçilik Özet'!$A$6:$A$200,0))</f>
        <v>0</v>
      </c>
      <c r="AF195" s="44">
        <f>INDEX('İşçilik Özet'!$X$6:$X$200,MATCH($A195&amp;"",'İşçilik Özet'!$A$6:$A$200,0))</f>
        <v>7.9124999999999996</v>
      </c>
      <c r="AG195" s="44">
        <f>INDEX('İşçilik Özet'!$Y$6:$Y$200,MATCH($A195&amp;"",'İşçilik Özet'!$A$6:$A$200,0))</f>
        <v>2.2599999999999998</v>
      </c>
      <c r="AH195" s="45">
        <f>(L195+P195)*F195+IF(E195="Kataforez",N(Q195)*F195,IF(E195="Yaş boya",ROUNDUP(F195/MAX(1,ROUND(IF(ISNUMBER(Q195),Q195,Parametreler!$B$11),0)),0)*Parametreler!$B$10,0))</f>
        <v>85.104001090909094</v>
      </c>
    </row>
    <row r="196" spans="1:34" ht="15" customHeight="1" x14ac:dyDescent="0.25">
      <c r="A196" s="30">
        <v>149964</v>
      </c>
      <c r="B196" s="30" t="s">
        <v>363</v>
      </c>
      <c r="C196" s="30" t="s">
        <v>243</v>
      </c>
      <c r="D196" s="30" t="s">
        <v>23</v>
      </c>
      <c r="E196" s="30" t="s">
        <v>124</v>
      </c>
      <c r="F196" s="31">
        <v>4</v>
      </c>
      <c r="G196" s="32">
        <v>1.2190000000000001</v>
      </c>
      <c r="H196" s="33">
        <f>INDEX('Sac Özet'!$L$5:$L$199,MATCH($A196&amp;"",'Sac Özet'!$A$5:$A$199,0))</f>
        <v>0.98783634146341448</v>
      </c>
      <c r="I196" s="33">
        <f>INDEX('Sac Özet'!$M$5:$M$199,MATCH($A196&amp;"",'Sac Özet'!$A$5:$A$199,0))</f>
        <v>0.17781054146341449</v>
      </c>
      <c r="J196" s="34">
        <f>INDEX('Sac Özet'!$N$5:$N$199,MATCH($A196&amp;"",'Sac Özet'!$A$5:$A$199,0))</f>
        <v>0.73207653232815972</v>
      </c>
      <c r="K196" s="35">
        <f>SUMPRODUCT((--'Satınalma Parçaları'!$A$2:$A$107=--$A196)*'Satınalma Parçaları'!$L$2:$L$107)</f>
        <v>0</v>
      </c>
      <c r="L196" s="36">
        <f>J196+N(K196)</f>
        <v>0.73207653232815972</v>
      </c>
      <c r="M196" s="37">
        <f>AE196/100*Parametreler!$B$7</f>
        <v>0</v>
      </c>
      <c r="N196" s="37">
        <f>AF196/100*Parametreler!$B$8</f>
        <v>1.8325</v>
      </c>
      <c r="O196" s="37">
        <f>AG196/100*Parametreler!$B$9</f>
        <v>0.75199999999999989</v>
      </c>
      <c r="P196" s="36">
        <f>SUM(M196:O196)</f>
        <v>2.5844999999999998</v>
      </c>
      <c r="Q196" s="47"/>
      <c r="R196" s="37">
        <f>IF(E196="Kataforez",N(Q196),IF(E196="Yaş boya",Parametreler!$B$10/MAX(1,ROUND(IF(ISNUMBER(Q196),Q196,Parametreler!$B$11),0)),0))</f>
        <v>0</v>
      </c>
      <c r="S196" s="36">
        <f>L196+P196+R196</f>
        <v>3.3165765323281597</v>
      </c>
      <c r="T196" s="39">
        <f>IF(S196=0,0,L196/S196)</f>
        <v>0.22073259133093456</v>
      </c>
      <c r="U196" s="39">
        <f>IF(S196=0,0,P196/S196)</f>
        <v>0.77926740866906541</v>
      </c>
      <c r="V196" s="39">
        <f>IF(S196=0,0,R196/S196)</f>
        <v>0</v>
      </c>
      <c r="W196" s="40">
        <f>SUM(AE196:AG196)/100*F196</f>
        <v>0.51690000000000003</v>
      </c>
      <c r="X196" s="37">
        <f>IF($G196=0,0,J196/$G196)</f>
        <v>0.60055498960472486</v>
      </c>
      <c r="Y196" s="37">
        <f>IF($G196=0,0,S196/$G196)</f>
        <v>2.7207354654045606</v>
      </c>
      <c r="Z196" s="41">
        <f>IF($G196=0,0,L196/$G196)</f>
        <v>0.60055498960472486</v>
      </c>
      <c r="AA196" s="36">
        <f>S196*Parametreler!$B$12</f>
        <v>4.742704441229268</v>
      </c>
      <c r="AB196" s="42">
        <f>AA196*F196</f>
        <v>18.970817764917072</v>
      </c>
      <c r="AC196" s="43" t="s">
        <v>364</v>
      </c>
      <c r="AD196" s="30" t="s">
        <v>96</v>
      </c>
      <c r="AE196" s="44">
        <f>INDEX('İşçilik Özet'!$W$6:$W$200,MATCH($A196&amp;"",'İşçilik Özet'!$A$6:$A$200,0))</f>
        <v>0</v>
      </c>
      <c r="AF196" s="44">
        <f>INDEX('İşçilik Özet'!$X$6:$X$200,MATCH($A196&amp;"",'İşçilik Özet'!$A$6:$A$200,0))</f>
        <v>9.1624999999999996</v>
      </c>
      <c r="AG196" s="44">
        <f>INDEX('İşçilik Özet'!$Y$6:$Y$200,MATCH($A196&amp;"",'İşçilik Özet'!$A$6:$A$200,0))</f>
        <v>3.76</v>
      </c>
      <c r="AH196" s="45">
        <f>(L196+P196)*F196+IF(E196="Kataforez",N(Q196)*F196,IF(E196="Yaş boya",ROUNDUP(F196/MAX(1,ROUND(IF(ISNUMBER(Q196),Q196,Parametreler!$B$11),0)),0)*Parametreler!$B$10,0))</f>
        <v>13.266306129312639</v>
      </c>
    </row>
    <row r="197" spans="1:34" ht="15" customHeight="1" x14ac:dyDescent="0.25">
      <c r="A197" s="30">
        <v>178519</v>
      </c>
      <c r="B197" s="30" t="s">
        <v>367</v>
      </c>
      <c r="C197" s="30" t="s">
        <v>194</v>
      </c>
      <c r="D197" s="30" t="s">
        <v>23</v>
      </c>
      <c r="E197" s="30" t="s">
        <v>94</v>
      </c>
      <c r="F197" s="31">
        <v>2</v>
      </c>
      <c r="G197" s="32">
        <v>0.38400000000000001</v>
      </c>
      <c r="H197" s="33">
        <f>INDEX('Sac Özet'!$L$5:$L$199,MATCH($A197&amp;"",'Sac Özet'!$A$5:$A$199,0))</f>
        <v>0.48308728677857121</v>
      </c>
      <c r="I197" s="33">
        <f>INDEX('Sac Özet'!$M$5:$M$199,MATCH($A197&amp;"",'Sac Özet'!$A$5:$A$199,0))</f>
        <v>9.9096686778571197E-2</v>
      </c>
      <c r="J197" s="34">
        <f>INDEX('Sac Özet'!$N$5:$N$199,MATCH($A197&amp;"",'Sac Özet'!$A$5:$A$199,0))</f>
        <v>0.35403818647714275</v>
      </c>
      <c r="K197" s="35">
        <f>SUMPRODUCT((--'Satınalma Parçaları'!$A$2:$A$107=--$A197)*'Satınalma Parçaları'!$L$2:$L$107)</f>
        <v>0</v>
      </c>
      <c r="L197" s="36">
        <f>J197+N(K197)</f>
        <v>0.35403818647714275</v>
      </c>
      <c r="M197" s="37">
        <f>AE197/100*Parametreler!$B$7</f>
        <v>1.3109999999999999</v>
      </c>
      <c r="N197" s="37">
        <f>AF197/100*Parametreler!$B$8</f>
        <v>2.0825</v>
      </c>
      <c r="O197" s="37">
        <f>AG197/100*Parametreler!$B$9</f>
        <v>0.51200000000000001</v>
      </c>
      <c r="P197" s="36">
        <f>SUM(M197:O197)</f>
        <v>3.9055</v>
      </c>
      <c r="Q197" s="46">
        <f>IFERROR(INDEX('Kataforez Teklifleri'!$G$6:$G$50,MATCH($A197&amp;"",'Kataforez Teklifleri'!$A$6:$A$50,0)),G197*Parametreler!$B$13)</f>
        <v>0.65066666666666662</v>
      </c>
      <c r="R197" s="37">
        <f>IF(E197="Kataforez",N(Q197),IF(E197="Yaş boya",Parametreler!$B$10/MAX(1,ROUND(IF(ISNUMBER(Q197),Q197,Parametreler!$B$11),0)),0))</f>
        <v>0.65066666666666662</v>
      </c>
      <c r="S197" s="36">
        <f>L197+P197+R197</f>
        <v>4.9102048531438101</v>
      </c>
      <c r="T197" s="39">
        <f>IF(S197=0,0,L197/S197)</f>
        <v>7.210252872656954E-2</v>
      </c>
      <c r="U197" s="39">
        <f>IF(S197=0,0,P197/S197)</f>
        <v>0.79538433055383884</v>
      </c>
      <c r="V197" s="39">
        <f>IF(S197=0,0,R197/S197)</f>
        <v>0.13251314071959147</v>
      </c>
      <c r="W197" s="40">
        <f>SUM(AE197:AG197)/100*F197</f>
        <v>0.39055000000000001</v>
      </c>
      <c r="X197" s="37">
        <f>IF($G197=0,0,J197/$G197)</f>
        <v>0.92197444395089256</v>
      </c>
      <c r="Y197" s="37">
        <f>IF($G197=0,0,S197/$G197)</f>
        <v>12.786991805062005</v>
      </c>
      <c r="Z197" s="41">
        <f>IF($G197=0,0,L197/$G197)</f>
        <v>0.92197444395089256</v>
      </c>
      <c r="AA197" s="36">
        <f>S197*Parametreler!$B$12</f>
        <v>7.0215929399956485</v>
      </c>
      <c r="AB197" s="42">
        <f>AA197*F197</f>
        <v>14.043185879991297</v>
      </c>
      <c r="AC197" s="43"/>
      <c r="AD197" s="30" t="s">
        <v>120</v>
      </c>
      <c r="AE197" s="44">
        <f>INDEX('İşçilik Özet'!$W$6:$W$200,MATCH($A197&amp;"",'İşçilik Özet'!$A$6:$A$200,0))</f>
        <v>6.5549999999999997</v>
      </c>
      <c r="AF197" s="44">
        <f>INDEX('İşçilik Özet'!$X$6:$X$200,MATCH($A197&amp;"",'İşçilik Özet'!$A$6:$A$200,0))</f>
        <v>10.4125</v>
      </c>
      <c r="AG197" s="44">
        <f>INDEX('İşçilik Özet'!$Y$6:$Y$200,MATCH($A197&amp;"",'İşçilik Özet'!$A$6:$A$200,0))</f>
        <v>2.56</v>
      </c>
      <c r="AH197" s="45">
        <f>(L197+P197)*F197+IF(E197="Kataforez",N(Q197)*F197,IF(E197="Yaş boya",ROUNDUP(F197/MAX(1,ROUND(IF(ISNUMBER(Q197),Q197,Parametreler!$B$11),0)),0)*Parametreler!$B$10,0))</f>
        <v>9.8204097062876201</v>
      </c>
    </row>
    <row r="198" spans="1:34" ht="15" customHeight="1" x14ac:dyDescent="0.25">
      <c r="A198" s="30">
        <v>1215518</v>
      </c>
      <c r="B198" s="30" t="s">
        <v>365</v>
      </c>
      <c r="C198" s="30" t="s">
        <v>139</v>
      </c>
      <c r="D198" s="30" t="s">
        <v>23</v>
      </c>
      <c r="E198" s="30" t="s">
        <v>124</v>
      </c>
      <c r="F198" s="31">
        <v>1</v>
      </c>
      <c r="G198" s="32">
        <v>0.86499999999999999</v>
      </c>
      <c r="H198" s="33">
        <f>INDEX('Sac Özet'!$L$5:$L$199,MATCH($A198&amp;"",'Sac Özet'!$A$5:$A$199,0))</f>
        <v>1.0895094570156727</v>
      </c>
      <c r="I198" s="33">
        <f>INDEX('Sac Özet'!$M$5:$M$199,MATCH($A198&amp;"",'Sac Özet'!$A$5:$A$199,0))</f>
        <v>0.22451795701567273</v>
      </c>
      <c r="J198" s="34">
        <f>INDEX('Sac Özet'!$N$5:$N$199,MATCH($A198&amp;"",'Sac Özet'!$A$5:$A$199,0))</f>
        <v>0.79812896149831813</v>
      </c>
      <c r="K198" s="35">
        <f>SUMPRODUCT((--'Satınalma Parçaları'!$A$2:$A$107=--$A198)*'Satınalma Parçaları'!$L$2:$L$107)</f>
        <v>0</v>
      </c>
      <c r="L198" s="36">
        <f>J198+N(K198)</f>
        <v>0.79812896149831813</v>
      </c>
      <c r="M198" s="37">
        <f>AE198/100*Parametreler!$B$7</f>
        <v>2.8519999999999994</v>
      </c>
      <c r="N198" s="37">
        <f>AF198/100*Parametreler!$B$8</f>
        <v>3.8325000000000005</v>
      </c>
      <c r="O198" s="37">
        <f>AG198/100*Parametreler!$B$9</f>
        <v>1.4771999999999998</v>
      </c>
      <c r="P198" s="36">
        <f>SUM(M198:O198)</f>
        <v>8.1616999999999997</v>
      </c>
      <c r="Q198" s="47"/>
      <c r="R198" s="37">
        <f>IF(E198="Kataforez",N(Q198),IF(E198="Yaş boya",Parametreler!$B$10/MAX(1,ROUND(IF(ISNUMBER(Q198),Q198,Parametreler!$B$11),0)),0))</f>
        <v>0</v>
      </c>
      <c r="S198" s="36">
        <f>L198+P198+R198</f>
        <v>8.9598289614983173</v>
      </c>
      <c r="T198" s="39">
        <f>IF(S198=0,0,L198/S198)</f>
        <v>8.9078593456191388E-2</v>
      </c>
      <c r="U198" s="39">
        <f>IF(S198=0,0,P198/S198)</f>
        <v>0.91092140654380871</v>
      </c>
      <c r="V198" s="39">
        <f>IF(S198=0,0,R198/S198)</f>
        <v>0</v>
      </c>
      <c r="W198" s="40">
        <f>SUM(AE198:AG198)/100*F198</f>
        <v>0.40808500000000003</v>
      </c>
      <c r="X198" s="37">
        <f>IF($G198=0,0,J198/$G198)</f>
        <v>0.92269244103851811</v>
      </c>
      <c r="Y198" s="37">
        <f>IF($G198=0,0,S198/$G198)</f>
        <v>10.358183770518286</v>
      </c>
      <c r="Z198" s="41">
        <f>IF($G198=0,0,L198/$G198)</f>
        <v>0.92269244103851811</v>
      </c>
      <c r="AA198" s="36">
        <f>S198*Parametreler!$B$12</f>
        <v>12.812555414942594</v>
      </c>
      <c r="AB198" s="42">
        <f>AA198*F198</f>
        <v>12.812555414942594</v>
      </c>
      <c r="AC198" s="43"/>
      <c r="AD198" s="30" t="s">
        <v>91</v>
      </c>
      <c r="AE198" s="44">
        <f>INDEX('İşçilik Özet'!$W$6:$W$200,MATCH($A198&amp;"",'İşçilik Özet'!$A$6:$A$200,0))</f>
        <v>14.259999999999998</v>
      </c>
      <c r="AF198" s="44">
        <f>INDEX('İşçilik Özet'!$X$6:$X$200,MATCH($A198&amp;"",'İşçilik Özet'!$A$6:$A$200,0))</f>
        <v>19.162500000000001</v>
      </c>
      <c r="AG198" s="44">
        <f>INDEX('İşçilik Özet'!$Y$6:$Y$200,MATCH($A198&amp;"",'İşçilik Özet'!$A$6:$A$200,0))</f>
        <v>7.3860000000000001</v>
      </c>
      <c r="AH198" s="45">
        <f>(L198+P198)*F198+IF(E198="Kataforez",N(Q198)*F198,IF(E198="Yaş boya",ROUNDUP(F198/MAX(1,ROUND(IF(ISNUMBER(Q198),Q198,Parametreler!$B$11),0)),0)*Parametreler!$B$10,0))</f>
        <v>8.9598289614983173</v>
      </c>
    </row>
    <row r="199" spans="1:34" ht="15" customHeight="1" x14ac:dyDescent="0.25">
      <c r="A199" s="30">
        <v>120832</v>
      </c>
      <c r="B199" s="30" t="s">
        <v>370</v>
      </c>
      <c r="C199" s="30" t="s">
        <v>107</v>
      </c>
      <c r="D199" s="30" t="s">
        <v>23</v>
      </c>
      <c r="E199" s="30" t="s">
        <v>124</v>
      </c>
      <c r="F199" s="31">
        <v>2</v>
      </c>
      <c r="G199" s="32">
        <v>4.2140000000000004</v>
      </c>
      <c r="H199" s="33">
        <f>INDEX('Sac Özet'!$L$5:$L$199,MATCH($A199&amp;"",'Sac Özet'!$A$5:$A$199,0))</f>
        <v>0.59028170731707297</v>
      </c>
      <c r="I199" s="33">
        <f>INDEX('Sac Özet'!$M$5:$M$199,MATCH($A199&amp;"",'Sac Özet'!$A$5:$A$199,0))</f>
        <v>0.10625070731707308</v>
      </c>
      <c r="J199" s="34">
        <f>INDEX('Sac Özet'!$N$5:$N$199,MATCH($A199&amp;"",'Sac Özet'!$A$5:$A$199,0))</f>
        <v>0.43745240709534366</v>
      </c>
      <c r="K199" s="35">
        <f>SUMPRODUCT((--'Satınalma Parçaları'!$A$2:$A$107=--$A199)*'Satınalma Parçaları'!$L$2:$L$107)</f>
        <v>0</v>
      </c>
      <c r="L199" s="36">
        <f>J199+N(K199)</f>
        <v>0.43745240709534366</v>
      </c>
      <c r="M199" s="37">
        <f>AE199/100*Parametreler!$B$7</f>
        <v>0</v>
      </c>
      <c r="N199" s="37">
        <f>AF199/100*Parametreler!$B$8</f>
        <v>1.8325</v>
      </c>
      <c r="O199" s="37">
        <f>AG199/100*Parametreler!$B$9</f>
        <v>1.02</v>
      </c>
      <c r="P199" s="36">
        <f>SUM(M199:O199)</f>
        <v>2.8525</v>
      </c>
      <c r="Q199" s="47"/>
      <c r="R199" s="37">
        <f>IF(E199="Kataforez",N(Q199),IF(E199="Yaş boya",Parametreler!$B$10/MAX(1,ROUND(IF(ISNUMBER(Q199),Q199,Parametreler!$B$11),0)),0))</f>
        <v>0</v>
      </c>
      <c r="S199" s="36">
        <f>L199+P199+R199</f>
        <v>3.2899524070953436</v>
      </c>
      <c r="T199" s="39">
        <f>IF(S199=0,0,L199/S199)</f>
        <v>0.13296618095505058</v>
      </c>
      <c r="U199" s="39">
        <f>IF(S199=0,0,P199/S199)</f>
        <v>0.86703381904494947</v>
      </c>
      <c r="V199" s="39">
        <f>IF(S199=0,0,R199/S199)</f>
        <v>0</v>
      </c>
      <c r="W199" s="40">
        <f>SUM(AE199:AG199)/100*F199</f>
        <v>0.28525</v>
      </c>
      <c r="X199" s="37">
        <f>IF($G199=0,0,J199/$G199)</f>
        <v>0.10380930400933641</v>
      </c>
      <c r="Y199" s="37">
        <f>IF($G199=0,0,S199/$G199)</f>
        <v>0.78071960301265864</v>
      </c>
      <c r="Z199" s="41">
        <f>IF($G199=0,0,L199/$G199)</f>
        <v>0.10380930400933641</v>
      </c>
      <c r="AA199" s="36">
        <f>S199*Parametreler!$B$12</f>
        <v>4.7046319421463414</v>
      </c>
      <c r="AB199" s="42">
        <f>AA199*F199</f>
        <v>9.4092638842926828</v>
      </c>
      <c r="AC199" s="43" t="s">
        <v>371</v>
      </c>
      <c r="AD199" s="30" t="s">
        <v>96</v>
      </c>
      <c r="AE199" s="44">
        <f>INDEX('İşçilik Özet'!$W$6:$W$200,MATCH($A199&amp;"",'İşçilik Özet'!$A$6:$A$200,0))</f>
        <v>0</v>
      </c>
      <c r="AF199" s="44">
        <f>INDEX('İşçilik Özet'!$X$6:$X$200,MATCH($A199&amp;"",'İşçilik Özet'!$A$6:$A$200,0))</f>
        <v>9.1624999999999996</v>
      </c>
      <c r="AG199" s="44">
        <f>INDEX('İşçilik Özet'!$Y$6:$Y$200,MATCH($A199&amp;"",'İşçilik Özet'!$A$6:$A$200,0))</f>
        <v>5.0999999999999996</v>
      </c>
      <c r="AH199" s="45">
        <f>(L199+P199)*F199+IF(E199="Kataforez",N(Q199)*F199,IF(E199="Yaş boya",ROUNDUP(F199/MAX(1,ROUND(IF(ISNUMBER(Q199),Q199,Parametreler!$B$11),0)),0)*Parametreler!$B$10,0))</f>
        <v>6.5799048141906873</v>
      </c>
    </row>
    <row r="200" spans="1:34" ht="15" customHeight="1" x14ac:dyDescent="0.25">
      <c r="A200" s="48" t="s">
        <v>374</v>
      </c>
      <c r="B200" s="48"/>
      <c r="C200" s="48"/>
      <c r="D200" s="48"/>
      <c r="E200" s="48"/>
      <c r="F200" s="48">
        <f>SUM(F5:F199)</f>
        <v>7863</v>
      </c>
      <c r="G200" s="48"/>
      <c r="H200" s="49">
        <f>SUMPRODUCT(H5:H199,$F$5:$F$199)</f>
        <v>72463.192422471562</v>
      </c>
      <c r="I200" s="49">
        <f>SUMPRODUCT(I5:I199,$F$5:$F$199)</f>
        <v>23238.848548571557</v>
      </c>
      <c r="J200" s="50">
        <f>SUMPRODUCT(J5:J199,$F$5:$F$199)</f>
        <v>50365.114830488325</v>
      </c>
      <c r="K200" s="50">
        <f>SUMPRODUCT(K5:K199,$F$5:$F$199)</f>
        <v>17860.026727272721</v>
      </c>
      <c r="L200" s="50">
        <f>SUMPRODUCT(L5:L199,$F$5:$F$199)</f>
        <v>68225.14155776109</v>
      </c>
      <c r="M200" s="50">
        <f>SUMPRODUCT(M5:M199,$F$5:$F$199)</f>
        <v>14971.769500000008</v>
      </c>
      <c r="N200" s="50">
        <f>SUMPRODUCT(N5:N199,$F$5:$F$199)</f>
        <v>26654.927499999983</v>
      </c>
      <c r="O200" s="50">
        <f>SUMPRODUCT(O5:O199,$F$5:$F$199)</f>
        <v>18562.648799999999</v>
      </c>
      <c r="P200" s="50">
        <f>SUMPRODUCT(P5:P199,$F$5:$F$199)</f>
        <v>60189.345799999937</v>
      </c>
      <c r="Q200" s="48"/>
      <c r="R200" s="50">
        <f>SUMPRODUCT(R5:R199,$F$5:$F$199)</f>
        <v>73809.808000000005</v>
      </c>
      <c r="S200" s="50">
        <f>SUMPRODUCT(S5:S199,$F$5:$F$199)</f>
        <v>202224.29535776094</v>
      </c>
      <c r="T200" s="48"/>
      <c r="U200" s="48"/>
      <c r="V200" s="48"/>
      <c r="W200" s="51">
        <f>SUM(W5:W199)</f>
        <v>3009.4672900000028</v>
      </c>
      <c r="X200" s="52">
        <f>IF(SUMPRODUCT($G$5:$G$199,$F$5:$F$199)=0,0,J200/SUMPRODUCT($G$5:$G$199,$F$5:$F$199))</f>
        <v>0.85203719455704896</v>
      </c>
      <c r="Y200" s="52">
        <f>IF(SUMPRODUCT($G$5:$G$199,$F$5:$F$199)=0,0,S200/SUMPRODUCT($G$5:$G$199,$F$5:$F$199))</f>
        <v>3.4210707524010244</v>
      </c>
      <c r="Z200" s="53">
        <f>IF(SUMPRODUCT($G$5:$G$199,$F$5:$F$199)=0,0,L200/SUMPRODUCT($G$5:$G$199,$F$5:$F$199))</f>
        <v>1.1541790067744133</v>
      </c>
      <c r="AA200" s="50">
        <f>SUMPRODUCT(AA5:AA199,$F$5:$F$199)</f>
        <v>289180.7423615983</v>
      </c>
      <c r="AB200" s="50">
        <f>SUM(AB5:AB199)</f>
        <v>289180.7423615983</v>
      </c>
      <c r="AC200" s="54"/>
      <c r="AD200" s="48"/>
      <c r="AE200" s="48"/>
      <c r="AF200" s="48"/>
      <c r="AG200" s="48"/>
      <c r="AH200" s="55">
        <f>SUM(AH5:AH199)</f>
        <v>206923.6286910944</v>
      </c>
    </row>
    <row r="201" spans="1:34" ht="15" customHeight="1" x14ac:dyDescent="0.25">
      <c r="A201" s="24" t="s">
        <v>375</v>
      </c>
    </row>
    <row r="202" spans="1:34" ht="15" customHeight="1" x14ac:dyDescent="0.25">
      <c r="A202" s="24" t="s">
        <v>376</v>
      </c>
    </row>
  </sheetData>
  <autoFilter ref="A4:AH202" xr:uid="{00000000-0009-0000-0000-000001000000}"/>
  <sortState xmlns:xlrd2="http://schemas.microsoft.com/office/spreadsheetml/2017/richdata2" ref="A5:AH199">
    <sortCondition descending="1" ref="AB5:AB199"/>
  </sortState>
  <mergeCells count="9">
    <mergeCell ref="X3:Z3"/>
    <mergeCell ref="AA3:AB3"/>
    <mergeCell ref="AC3:AD3"/>
    <mergeCell ref="AE3:AG3"/>
    <mergeCell ref="A3:G3"/>
    <mergeCell ref="H3:L3"/>
    <mergeCell ref="M3:P3"/>
    <mergeCell ref="Q3:R3"/>
    <mergeCell ref="S3:W3"/>
  </mergeCell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1"/>
  <sheetViews>
    <sheetView zoomScaleNormal="100" workbookViewId="0">
      <selection activeCell="B10" sqref="B10"/>
    </sheetView>
  </sheetViews>
  <sheetFormatPr defaultColWidth="8.7109375" defaultRowHeight="15" x14ac:dyDescent="0.25"/>
  <cols>
    <col min="1" max="1" width="40" customWidth="1"/>
    <col min="2" max="2" width="12" customWidth="1"/>
    <col min="3" max="3" width="52" customWidth="1"/>
  </cols>
  <sheetData>
    <row r="1" spans="1:3" ht="16.5" customHeight="1" x14ac:dyDescent="0.25">
      <c r="A1" s="56" t="s">
        <v>377</v>
      </c>
    </row>
    <row r="2" spans="1:3" ht="15" customHeight="1" x14ac:dyDescent="0.25">
      <c r="A2" s="57" t="s">
        <v>378</v>
      </c>
    </row>
    <row r="4" spans="1:3" ht="15" customHeight="1" x14ac:dyDescent="0.25">
      <c r="A4" s="15" t="s">
        <v>379</v>
      </c>
      <c r="B4" s="15" t="s">
        <v>380</v>
      </c>
      <c r="C4" s="15" t="s">
        <v>63</v>
      </c>
    </row>
    <row r="5" spans="1:3" ht="15" customHeight="1" x14ac:dyDescent="0.25">
      <c r="A5" s="58" t="s">
        <v>381</v>
      </c>
      <c r="B5" s="59">
        <v>0.8</v>
      </c>
      <c r="C5" s="57" t="s">
        <v>382</v>
      </c>
    </row>
    <row r="6" spans="1:3" ht="15" customHeight="1" x14ac:dyDescent="0.25">
      <c r="A6" s="58" t="s">
        <v>383</v>
      </c>
      <c r="B6" s="59">
        <f>18/55</f>
        <v>0.32727272727272727</v>
      </c>
      <c r="C6" s="57" t="s">
        <v>384</v>
      </c>
    </row>
    <row r="7" spans="1:3" ht="15" customHeight="1" x14ac:dyDescent="0.25">
      <c r="A7" s="58" t="s">
        <v>385</v>
      </c>
      <c r="B7" s="60">
        <f>'İşçilik Parametreleri'!B9</f>
        <v>20</v>
      </c>
      <c r="C7" s="57" t="s">
        <v>386</v>
      </c>
    </row>
    <row r="8" spans="1:3" ht="15" customHeight="1" x14ac:dyDescent="0.25">
      <c r="A8" s="58" t="s">
        <v>387</v>
      </c>
      <c r="B8" s="60">
        <f>'İşçilik Parametreleri'!B17</f>
        <v>20</v>
      </c>
      <c r="C8" s="57" t="s">
        <v>388</v>
      </c>
    </row>
    <row r="9" spans="1:3" ht="15" customHeight="1" x14ac:dyDescent="0.25">
      <c r="A9" s="58" t="s">
        <v>389</v>
      </c>
      <c r="B9" s="60">
        <f>'İşçilik Parametreleri'!B25</f>
        <v>20</v>
      </c>
      <c r="C9" s="57" t="s">
        <v>390</v>
      </c>
    </row>
    <row r="10" spans="1:3" ht="15" customHeight="1" x14ac:dyDescent="0.25">
      <c r="A10" s="58" t="s">
        <v>391</v>
      </c>
      <c r="B10" s="59">
        <v>80</v>
      </c>
      <c r="C10" s="57" t="s">
        <v>392</v>
      </c>
    </row>
    <row r="11" spans="1:3" ht="15" customHeight="1" x14ac:dyDescent="0.25">
      <c r="A11" s="58" t="s">
        <v>393</v>
      </c>
      <c r="B11" s="59">
        <v>1</v>
      </c>
      <c r="C11" s="57" t="s">
        <v>394</v>
      </c>
    </row>
    <row r="12" spans="1:3" ht="15" customHeight="1" x14ac:dyDescent="0.25">
      <c r="A12" s="58" t="s">
        <v>395</v>
      </c>
      <c r="B12" s="59">
        <v>1.43</v>
      </c>
      <c r="C12" s="57" t="s">
        <v>396</v>
      </c>
    </row>
    <row r="13" spans="1:3" ht="15" customHeight="1" x14ac:dyDescent="0.25">
      <c r="A13" s="58" t="s">
        <v>397</v>
      </c>
      <c r="B13" s="61">
        <f>MAX('Kataforez Teklifleri'!G19,'Kataforez Teklifleri'!K19)/'Kataforez Teklifleri'!D19</f>
        <v>1.6944444444444444</v>
      </c>
      <c r="C13" s="57" t="s">
        <v>398</v>
      </c>
    </row>
    <row r="14" spans="1:3" ht="15" customHeight="1" x14ac:dyDescent="0.25">
      <c r="A14" s="62" t="s">
        <v>399</v>
      </c>
    </row>
    <row r="15" spans="1:3" ht="15" customHeight="1" x14ac:dyDescent="0.25">
      <c r="A15" s="63" t="s">
        <v>400</v>
      </c>
    </row>
    <row r="16" spans="1:3" ht="15" customHeight="1" x14ac:dyDescent="0.25">
      <c r="A16" s="63" t="s">
        <v>401</v>
      </c>
    </row>
    <row r="17" spans="1:1" ht="15" customHeight="1" x14ac:dyDescent="0.25">
      <c r="A17" s="63" t="s">
        <v>402</v>
      </c>
    </row>
    <row r="18" spans="1:1" ht="15" customHeight="1" x14ac:dyDescent="0.25">
      <c r="A18" s="63" t="s">
        <v>403</v>
      </c>
    </row>
    <row r="19" spans="1:1" ht="15" customHeight="1" x14ac:dyDescent="0.25">
      <c r="A19" s="63" t="s">
        <v>404</v>
      </c>
    </row>
    <row r="20" spans="1:1" ht="15" customHeight="1" x14ac:dyDescent="0.25">
      <c r="A20" s="63" t="s">
        <v>405</v>
      </c>
    </row>
    <row r="21" spans="1:1" ht="15" customHeight="1" x14ac:dyDescent="0.25">
      <c r="A21" s="63" t="s">
        <v>406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09"/>
  <sheetViews>
    <sheetView zoomScaleNormal="100" workbookViewId="0">
      <pane xSplit="4" ySplit="5" topLeftCell="E34" activePane="bottomRight" state="frozen"/>
      <selection pane="topRight" activeCell="E1" sqref="E1"/>
      <selection pane="bottomLeft" activeCell="A6" sqref="A6"/>
      <selection pane="bottomRight" activeCell="A51" sqref="A51"/>
    </sheetView>
  </sheetViews>
  <sheetFormatPr defaultColWidth="8.7109375" defaultRowHeight="15" x14ac:dyDescent="0.25"/>
  <cols>
    <col min="1" max="1" width="10.42578125" customWidth="1"/>
    <col min="2" max="2" width="19.140625" customWidth="1"/>
    <col min="3" max="3" width="44" customWidth="1"/>
    <col min="4" max="4" width="6" customWidth="1"/>
    <col min="5" max="5" width="22" customWidth="1"/>
    <col min="6" max="6" width="7" customWidth="1"/>
    <col min="7" max="7" width="9" customWidth="1"/>
    <col min="8" max="8" width="6" customWidth="1"/>
    <col min="9" max="9" width="9" customWidth="1"/>
    <col min="10" max="10" width="7" customWidth="1"/>
    <col min="11" max="11" width="8" customWidth="1"/>
    <col min="13" max="13" width="7" customWidth="1"/>
    <col min="14" max="14" width="9" customWidth="1"/>
    <col min="15" max="15" width="7" customWidth="1"/>
    <col min="16" max="16" width="6" customWidth="1"/>
    <col min="17" max="17" width="9" customWidth="1"/>
    <col min="18" max="18" width="8" customWidth="1"/>
    <col min="27" max="27" width="11" customWidth="1"/>
    <col min="28" max="28" width="13" customWidth="1"/>
    <col min="29" max="29" width="9" customWidth="1"/>
    <col min="32" max="32" width="7" customWidth="1"/>
    <col min="33" max="33" width="11" customWidth="1"/>
    <col min="34" max="34" width="8" customWidth="1"/>
  </cols>
  <sheetData>
    <row r="1" spans="1:34" ht="18" customHeight="1" x14ac:dyDescent="0.25">
      <c r="A1" s="64" t="s">
        <v>407</v>
      </c>
    </row>
    <row r="2" spans="1:34" ht="15" customHeight="1" x14ac:dyDescent="0.25">
      <c r="A2" s="65" t="s">
        <v>408</v>
      </c>
    </row>
    <row r="4" spans="1:34" ht="15" customHeight="1" x14ac:dyDescent="0.25">
      <c r="A4" s="5" t="s">
        <v>39</v>
      </c>
      <c r="B4" s="5"/>
      <c r="C4" s="5"/>
      <c r="D4" s="5"/>
      <c r="E4" s="5"/>
      <c r="F4" s="5"/>
      <c r="G4" s="5"/>
      <c r="H4" s="5" t="s">
        <v>409</v>
      </c>
      <c r="I4" s="5"/>
      <c r="J4" s="5"/>
      <c r="K4" s="5"/>
      <c r="L4" s="5"/>
      <c r="M4" s="5"/>
      <c r="N4" s="5"/>
      <c r="O4" s="5"/>
      <c r="P4" s="5"/>
      <c r="Q4" s="5" t="s">
        <v>410</v>
      </c>
      <c r="R4" s="5"/>
      <c r="S4" s="5"/>
      <c r="T4" s="5"/>
      <c r="U4" s="5"/>
      <c r="V4" s="5"/>
      <c r="W4" s="5" t="s">
        <v>411</v>
      </c>
      <c r="X4" s="5"/>
      <c r="Y4" s="5"/>
      <c r="Z4" s="5"/>
      <c r="AA4" s="5" t="s">
        <v>42</v>
      </c>
      <c r="AB4" s="5"/>
      <c r="AC4" s="5"/>
      <c r="AD4" s="5" t="s">
        <v>412</v>
      </c>
      <c r="AE4" s="5"/>
      <c r="AF4" s="5"/>
      <c r="AG4" s="5"/>
      <c r="AH4" s="5"/>
    </row>
    <row r="5" spans="1:34" ht="51" customHeight="1" x14ac:dyDescent="0.25">
      <c r="A5" s="66" t="s">
        <v>49</v>
      </c>
      <c r="B5" s="66" t="s">
        <v>63</v>
      </c>
      <c r="C5" s="66" t="s">
        <v>50</v>
      </c>
      <c r="D5" s="66" t="s">
        <v>51</v>
      </c>
      <c r="E5" s="66" t="s">
        <v>413</v>
      </c>
      <c r="F5" s="66" t="s">
        <v>414</v>
      </c>
      <c r="G5" s="66" t="s">
        <v>415</v>
      </c>
      <c r="H5" s="66" t="s">
        <v>416</v>
      </c>
      <c r="I5" s="66" t="s">
        <v>417</v>
      </c>
      <c r="J5" s="66" t="s">
        <v>61</v>
      </c>
      <c r="K5" s="66" t="s">
        <v>418</v>
      </c>
      <c r="L5" s="66" t="s">
        <v>419</v>
      </c>
      <c r="M5" s="66" t="s">
        <v>420</v>
      </c>
      <c r="N5" s="66" t="s">
        <v>421</v>
      </c>
      <c r="O5" s="66" t="s">
        <v>422</v>
      </c>
      <c r="P5" s="66" t="s">
        <v>423</v>
      </c>
      <c r="Q5" s="66" t="s">
        <v>424</v>
      </c>
      <c r="R5" s="66" t="s">
        <v>425</v>
      </c>
      <c r="S5" s="66" t="s">
        <v>426</v>
      </c>
      <c r="T5" s="66" t="s">
        <v>427</v>
      </c>
      <c r="U5" s="66" t="s">
        <v>428</v>
      </c>
      <c r="V5" s="66" t="s">
        <v>429</v>
      </c>
      <c r="W5" s="66" t="s">
        <v>61</v>
      </c>
      <c r="X5" s="66" t="s">
        <v>423</v>
      </c>
      <c r="Y5" s="66" t="s">
        <v>63</v>
      </c>
      <c r="Z5" s="66" t="s">
        <v>430</v>
      </c>
      <c r="AA5" s="66" t="s">
        <v>431</v>
      </c>
      <c r="AB5" s="66" t="s">
        <v>432</v>
      </c>
      <c r="AC5" s="66" t="s">
        <v>433</v>
      </c>
      <c r="AD5" s="66" t="s">
        <v>19</v>
      </c>
      <c r="AE5" s="66" t="s">
        <v>434</v>
      </c>
      <c r="AF5" s="66" t="s">
        <v>435</v>
      </c>
      <c r="AG5" s="66" t="s">
        <v>436</v>
      </c>
      <c r="AH5" s="66" t="s">
        <v>437</v>
      </c>
    </row>
    <row r="6" spans="1:34" ht="15" customHeight="1" x14ac:dyDescent="0.25">
      <c r="A6" s="67" t="s">
        <v>438</v>
      </c>
      <c r="B6" s="68" t="s">
        <v>439</v>
      </c>
      <c r="C6" s="69" t="s">
        <v>83</v>
      </c>
      <c r="D6" s="68" t="s">
        <v>84</v>
      </c>
      <c r="E6" s="68" t="s">
        <v>440</v>
      </c>
      <c r="F6" s="68">
        <v>2</v>
      </c>
      <c r="G6" s="68">
        <v>8</v>
      </c>
      <c r="H6" s="68">
        <v>100</v>
      </c>
      <c r="I6" s="68">
        <v>64</v>
      </c>
      <c r="J6" s="68">
        <v>16</v>
      </c>
      <c r="K6" s="70">
        <v>58.012999999999998</v>
      </c>
      <c r="L6" s="70">
        <v>59.956000000000003</v>
      </c>
      <c r="M6" s="71">
        <f t="shared" ref="M6:M37" si="0">IF(ISNUMBER(K6),(L6-K6)/K6,"")</f>
        <v>3.3492493061900004E-2</v>
      </c>
      <c r="N6" s="68">
        <v>5</v>
      </c>
      <c r="O6" s="68">
        <v>5</v>
      </c>
      <c r="P6" s="68">
        <v>0</v>
      </c>
      <c r="Q6" s="72">
        <v>536</v>
      </c>
      <c r="R6" s="72">
        <v>0</v>
      </c>
      <c r="S6" s="72">
        <v>0</v>
      </c>
      <c r="T6" s="72">
        <v>0</v>
      </c>
      <c r="U6" s="72">
        <v>0</v>
      </c>
      <c r="V6" s="73">
        <f>SUM(Q6:U6)*'İşçilik Parametreleri'!$B$28/1000</f>
        <v>0.53600000000000003</v>
      </c>
      <c r="W6" s="70">
        <f>SUMIF('Büküm Parçaları'!$A$2:$A$213,A6,'Büküm Parçaları'!$I$2:$I$213)</f>
        <v>52.439999999999991</v>
      </c>
      <c r="X6" s="70">
        <f>(I6*'İşçilik Parametreleri'!$B$18+IF(L6&gt;'İşçilik Parametreleri'!$B$21,'İşçilik Parametreleri'!$B$20,'İşçilik Parametreleri'!$B$19)+N6*'İşçilik Parametreleri'!$B$22)*'İşçilik Parametreleri'!$B$23</f>
        <v>95</v>
      </c>
      <c r="Y6" s="70">
        <f>(IF('İşçilik Parametreleri'!$B$27="Resme göre",(Q6*INDEX('İşçilik Parametreleri'!$F$16:$I$20,1,MATCH('İşçilik Parametreleri'!$B$26,{"Manuel","Robot","HTD","Lazer"},0))+R6*INDEX('İşçilik Parametreleri'!$F$16:$I$20,2,MATCH('İşçilik Parametreleri'!$B$26,{"Manuel","Robot","HTD","Lazer"},0))+S6*INDEX('İşçilik Parametreleri'!$F$16:$I$20,3,MATCH('İşçilik Parametreleri'!$B$26,{"Manuel","Robot","HTD","Lazer"},0))+T6*INDEX('İşçilik Parametreleri'!$F$16:$I$20,4,MATCH('İşçilik Parametreleri'!$B$26,{"Manuel","Robot","HTD","Lazer"},0))+U6*INDEX('İşçilik Parametreleri'!$F$16:$I$20,5,MATCH('İşçilik Parametreleri'!$B$26,{"Manuel","Robot","HTD","Lazer"},0))),SUM(Q6:U6)*INDEX('İşçilik Parametreleri'!$F$16:$I$20,MATCH(VALUE('İşçilik Parametreleri'!$B$27),'İşçilik Parametreleri'!$E$16:$E$20,0),MATCH('İşçilik Parametreleri'!$B$26,{"Manuel","Robot","HTD","Lazer"},0)))*'İşçilik Parametreleri'!$B$28/1000+O6*IF(OR('İşçilik Parametreleri'!$B$26="Robot",'İşçilik Parametreleri'!$B$26="HTD"),'İşçilik Parametreleri'!$B$30,'İşçilik Parametreleri'!$B$29))*'İşçilik Parametreleri'!$B$31</f>
        <v>8.7519999999999989</v>
      </c>
      <c r="Z6" s="74">
        <f t="shared" ref="Z6:Z37" si="1">(W6+X6+Y6)*0.6</f>
        <v>93.715199999999996</v>
      </c>
      <c r="AA6" s="75" t="s">
        <v>86</v>
      </c>
      <c r="AB6" s="76">
        <v>10000</v>
      </c>
      <c r="AC6" s="77">
        <f>IF(AA6="Kataforez",N(AB6),IF(AA6="Yaş boya",'İşçilik Parametreleri'!$B$6/MAX(1,ROUND(IF(ISNUMBER(AB6),AB6,'İşçilik Parametreleri'!$B$7),0)),0))</f>
        <v>8.0000000000000002E-3</v>
      </c>
      <c r="AD6" s="78">
        <f>W6/100*'İşçilik Parametreleri'!$B$9+X6/100*'İşçilik Parametreleri'!$B$17+Y6/100*'İşçilik Parametreleri'!$B$25</f>
        <v>31.238399999999999</v>
      </c>
      <c r="AE6" s="78">
        <f t="shared" ref="AE6:AE37" si="2">AD6+AC6</f>
        <v>31.246399999999998</v>
      </c>
      <c r="AF6" s="75">
        <v>119</v>
      </c>
      <c r="AG6" s="79">
        <f>AD6*AF6+IF(AA6="Kataforez",N(AB6)*AF6,IF(AA6="Yaş boya",ROUNDUP(AF6/MAX(1,ROUND(IF(ISNUMBER(AB6),AB6,'İşçilik Parametreleri'!$B$7),0)),0)*'İşçilik Parametreleri'!$B$6,0))</f>
        <v>3797.3696</v>
      </c>
      <c r="AH6" s="70">
        <f t="shared" ref="AH6:AH37" si="3">(W6+X6+Y6)*AF6/100</f>
        <v>185.86848000000001</v>
      </c>
    </row>
    <row r="7" spans="1:34" ht="15" customHeight="1" x14ac:dyDescent="0.25">
      <c r="A7" s="67" t="s">
        <v>441</v>
      </c>
      <c r="B7" s="80" t="s">
        <v>23</v>
      </c>
      <c r="C7" s="81" t="s">
        <v>89</v>
      </c>
      <c r="D7" s="68" t="s">
        <v>90</v>
      </c>
      <c r="E7" s="68" t="s">
        <v>442</v>
      </c>
      <c r="F7" s="68">
        <v>1</v>
      </c>
      <c r="G7" s="68">
        <v>2</v>
      </c>
      <c r="H7" s="68">
        <v>17</v>
      </c>
      <c r="I7" s="68">
        <v>17</v>
      </c>
      <c r="J7" s="68">
        <v>10</v>
      </c>
      <c r="K7" s="70">
        <v>4.0830000000000002</v>
      </c>
      <c r="L7" s="70">
        <v>4.0780000000000003</v>
      </c>
      <c r="M7" s="71">
        <f t="shared" si="0"/>
        <v>-1.2245897624295599E-3</v>
      </c>
      <c r="N7" s="68">
        <v>26</v>
      </c>
      <c r="O7" s="68">
        <v>26</v>
      </c>
      <c r="P7" s="68">
        <v>0</v>
      </c>
      <c r="Q7" s="72">
        <v>910</v>
      </c>
      <c r="R7" s="72">
        <v>0</v>
      </c>
      <c r="S7" s="72">
        <v>0</v>
      </c>
      <c r="T7" s="72">
        <v>0</v>
      </c>
      <c r="U7" s="72">
        <v>0</v>
      </c>
      <c r="V7" s="73">
        <f>SUM(Q7:U7)*'İşçilik Parametreleri'!$B$28/1000</f>
        <v>0.91</v>
      </c>
      <c r="W7" s="70">
        <f>SUMIF('Büküm Parçaları'!$A$2:$A$213,A7,'Büküm Parçaları'!$I$2:$I$213)</f>
        <v>32.774999999999999</v>
      </c>
      <c r="X7" s="70">
        <f>(I7*'İşçilik Parametreleri'!$B$18+IF(L7&gt;'İşçilik Parametreleri'!$B$21,'İşçilik Parametreleri'!$B$20,'İşçilik Parametreleri'!$B$19)+N7*'İşçilik Parametreleri'!$B$22)*'İşçilik Parametreleri'!$B$23</f>
        <v>57.912499999999994</v>
      </c>
      <c r="Y7" s="70">
        <f>(IF('İşçilik Parametreleri'!$B$27="Resme göre",(Q7*INDEX('İşçilik Parametreleri'!$F$16:$I$20,1,MATCH('İşçilik Parametreleri'!$B$26,{"Manuel","Robot","HTD","Lazer"},0))+R7*INDEX('İşçilik Parametreleri'!$F$16:$I$20,2,MATCH('İşçilik Parametreleri'!$B$26,{"Manuel","Robot","HTD","Lazer"},0))+S7*INDEX('İşçilik Parametreleri'!$F$16:$I$20,3,MATCH('İşçilik Parametreleri'!$B$26,{"Manuel","Robot","HTD","Lazer"},0))+T7*INDEX('İşçilik Parametreleri'!$F$16:$I$20,4,MATCH('İşçilik Parametreleri'!$B$26,{"Manuel","Robot","HTD","Lazer"},0))+U7*INDEX('İşçilik Parametreleri'!$F$16:$I$20,5,MATCH('İşçilik Parametreleri'!$B$26,{"Manuel","Robot","HTD","Lazer"},0))),SUM(Q7:U7)*INDEX('İşçilik Parametreleri'!$F$16:$I$20,MATCH(VALUE('İşçilik Parametreleri'!$B$27),'İşçilik Parametreleri'!$E$16:$E$20,0),MATCH('İşçilik Parametreleri'!$B$26,{"Manuel","Robot","HTD","Lazer"},0)))*'İşçilik Parametreleri'!$B$28/1000+O7*IF(OR('İşçilik Parametreleri'!$B$26="Robot",'İşçilik Parametreleri'!$B$26="HTD"),'İşçilik Parametreleri'!$B$30,'İşçilik Parametreleri'!$B$29))*'İşçilik Parametreleri'!$B$31</f>
        <v>32.369999999999997</v>
      </c>
      <c r="Z7" s="74">
        <f t="shared" si="1"/>
        <v>73.834500000000006</v>
      </c>
      <c r="AA7" s="75" t="s">
        <v>86</v>
      </c>
      <c r="AB7" s="76">
        <v>10000</v>
      </c>
      <c r="AC7" s="77">
        <f>IF(AA7="Kataforez",N(AB7),IF(AA7="Yaş boya",'İşçilik Parametreleri'!$B$6/MAX(1,ROUND(IF(ISNUMBER(AB7),AB7,'İşçilik Parametreleri'!$B$7),0)),0))</f>
        <v>8.0000000000000002E-3</v>
      </c>
      <c r="AD7" s="78">
        <f>W7/100*'İşçilik Parametreleri'!$B$9+X7/100*'İşçilik Parametreleri'!$B$17+Y7/100*'İşçilik Parametreleri'!$B$25</f>
        <v>24.611499999999996</v>
      </c>
      <c r="AE7" s="78">
        <f t="shared" si="2"/>
        <v>24.619499999999995</v>
      </c>
      <c r="AF7" s="75">
        <v>139</v>
      </c>
      <c r="AG7" s="79">
        <f>AD7*AF7+IF(AA7="Kataforez",N(AB7)*AF7,IF(AA7="Yaş boya",ROUNDUP(AF7/MAX(1,ROUND(IF(ISNUMBER(AB7),AB7,'İşçilik Parametreleri'!$B$7),0)),0)*'İşçilik Parametreleri'!$B$6,0))</f>
        <v>3500.9984999999992</v>
      </c>
      <c r="AH7" s="70">
        <f t="shared" si="3"/>
        <v>171.049925</v>
      </c>
    </row>
    <row r="8" spans="1:34" ht="15" customHeight="1" x14ac:dyDescent="0.25">
      <c r="A8" s="67" t="s">
        <v>443</v>
      </c>
      <c r="B8" s="80" t="s">
        <v>23</v>
      </c>
      <c r="C8" s="81" t="s">
        <v>92</v>
      </c>
      <c r="D8" s="68" t="s">
        <v>93</v>
      </c>
      <c r="E8" s="68" t="s">
        <v>94</v>
      </c>
      <c r="F8" s="68">
        <v>1</v>
      </c>
      <c r="G8" s="68">
        <v>2</v>
      </c>
      <c r="H8" s="68">
        <v>4</v>
      </c>
      <c r="I8" s="68">
        <v>4</v>
      </c>
      <c r="J8" s="68">
        <v>0</v>
      </c>
      <c r="K8" s="70">
        <v>4.0579999999999998</v>
      </c>
      <c r="L8" s="70">
        <v>4.0590000000000002</v>
      </c>
      <c r="M8" s="71">
        <f t="shared" si="0"/>
        <v>2.464268112371449E-4</v>
      </c>
      <c r="N8" s="68">
        <v>4</v>
      </c>
      <c r="O8" s="68">
        <v>4</v>
      </c>
      <c r="P8" s="68">
        <v>0</v>
      </c>
      <c r="Q8" s="72">
        <v>472</v>
      </c>
      <c r="R8" s="72">
        <v>0</v>
      </c>
      <c r="S8" s="72">
        <v>0</v>
      </c>
      <c r="T8" s="72">
        <v>0</v>
      </c>
      <c r="U8" s="72">
        <v>0</v>
      </c>
      <c r="V8" s="73">
        <f>SUM(Q8:U8)*'İşçilik Parametreleri'!$B$28/1000</f>
        <v>0.47199999999999998</v>
      </c>
      <c r="W8" s="70">
        <f>SUMIF('Büküm Parçaları'!$A$2:$A$213,A8,'Büküm Parçaları'!$I$2:$I$213)</f>
        <v>0</v>
      </c>
      <c r="X8" s="70">
        <f>(I8*'İşçilik Parametreleri'!$B$18+IF(L8&gt;'İşçilik Parametreleri'!$B$21,'İşçilik Parametreleri'!$B$20,'İşçilik Parametreleri'!$B$19)+N8*'İşçilik Parametreleri'!$B$22)*'İşçilik Parametreleri'!$B$23</f>
        <v>14.1625</v>
      </c>
      <c r="Y8" s="70">
        <f>(IF('İşçilik Parametreleri'!$B$27="Resme göre",(Q8*INDEX('İşçilik Parametreleri'!$F$16:$I$20,1,MATCH('İşçilik Parametreleri'!$B$26,{"Manuel","Robot","HTD","Lazer"},0))+R8*INDEX('İşçilik Parametreleri'!$F$16:$I$20,2,MATCH('İşçilik Parametreleri'!$B$26,{"Manuel","Robot","HTD","Lazer"},0))+S8*INDEX('İşçilik Parametreleri'!$F$16:$I$20,3,MATCH('İşçilik Parametreleri'!$B$26,{"Manuel","Robot","HTD","Lazer"},0))+T8*INDEX('İşçilik Parametreleri'!$F$16:$I$20,4,MATCH('İşçilik Parametreleri'!$B$26,{"Manuel","Robot","HTD","Lazer"},0))+U8*INDEX('İşçilik Parametreleri'!$F$16:$I$20,5,MATCH('İşçilik Parametreleri'!$B$26,{"Manuel","Robot","HTD","Lazer"},0))),SUM(Q8:U8)*INDEX('İşçilik Parametreleri'!$F$16:$I$20,MATCH(VALUE('İşçilik Parametreleri'!$B$27),'İşçilik Parametreleri'!$E$16:$E$20,0),MATCH('İşçilik Parametreleri'!$B$26,{"Manuel","Robot","HTD","Lazer"},0)))*'İşçilik Parametreleri'!$B$28/1000+O8*IF(OR('İşçilik Parametreleri'!$B$26="Robot",'İşçilik Parametreleri'!$B$26="HTD"),'İşçilik Parametreleri'!$B$30,'İşçilik Parametreleri'!$B$29))*'İşçilik Parametreleri'!$B$31</f>
        <v>7.3040000000000003</v>
      </c>
      <c r="Z8" s="74">
        <f t="shared" si="1"/>
        <v>12.879899999999999</v>
      </c>
      <c r="AA8" s="75" t="s">
        <v>94</v>
      </c>
      <c r="AB8" s="76"/>
      <c r="AC8" s="77">
        <f>IF(AA8="Kataforez",N(AB8),IF(AA8="Yaş boya",'İşçilik Parametreleri'!$B$6/MAX(1,ROUND(IF(ISNUMBER(AB8),AB8,'İşçilik Parametreleri'!$B$7),0)),0))</f>
        <v>0</v>
      </c>
      <c r="AD8" s="78">
        <f>W8/100*'İşçilik Parametreleri'!$B$9+X8/100*'İşçilik Parametreleri'!$B$17+Y8/100*'İşçilik Parametreleri'!$B$25</f>
        <v>4.2933000000000003</v>
      </c>
      <c r="AE8" s="78">
        <f t="shared" si="2"/>
        <v>4.2933000000000003</v>
      </c>
      <c r="AF8" s="75">
        <v>652</v>
      </c>
      <c r="AG8" s="79">
        <f>AD8*AF8+IF(AA8="Kataforez",N(AB8)*AF8,IF(AA8="Yaş boya",ROUNDUP(AF8/MAX(1,ROUND(IF(ISNUMBER(AB8),AB8,'İşçilik Parametreleri'!$B$7),0)),0)*'İşçilik Parametreleri'!$B$6,0))</f>
        <v>2799.2316000000001</v>
      </c>
      <c r="AH8" s="70">
        <f t="shared" si="3"/>
        <v>139.96158</v>
      </c>
    </row>
    <row r="9" spans="1:34" ht="15" customHeight="1" x14ac:dyDescent="0.25">
      <c r="A9" s="67" t="s">
        <v>97</v>
      </c>
      <c r="B9" s="68" t="s">
        <v>439</v>
      </c>
      <c r="C9" s="69" t="s">
        <v>98</v>
      </c>
      <c r="D9" s="68" t="s">
        <v>99</v>
      </c>
      <c r="E9" s="68" t="s">
        <v>94</v>
      </c>
      <c r="F9" s="68">
        <v>2</v>
      </c>
      <c r="G9" s="68">
        <v>4</v>
      </c>
      <c r="H9" s="68">
        <v>19</v>
      </c>
      <c r="I9" s="68">
        <v>19</v>
      </c>
      <c r="J9" s="68">
        <v>12</v>
      </c>
      <c r="K9" s="70">
        <v>57.445999999999998</v>
      </c>
      <c r="L9" s="70">
        <v>62.122999999999998</v>
      </c>
      <c r="M9" s="71">
        <f t="shared" si="0"/>
        <v>8.1415590293493018E-2</v>
      </c>
      <c r="N9" s="68">
        <v>29</v>
      </c>
      <c r="O9" s="68">
        <v>18</v>
      </c>
      <c r="P9" s="68">
        <v>11</v>
      </c>
      <c r="Q9" s="72">
        <v>10468</v>
      </c>
      <c r="R9" s="72">
        <v>0</v>
      </c>
      <c r="S9" s="72">
        <v>0</v>
      </c>
      <c r="T9" s="72">
        <v>0</v>
      </c>
      <c r="U9" s="72">
        <v>0</v>
      </c>
      <c r="V9" s="73">
        <f>SUM(Q9:U9)*'İşçilik Parametreleri'!$B$28/1000</f>
        <v>10.468</v>
      </c>
      <c r="W9" s="70">
        <f>SUMIF('Büküm Parçaları'!$A$2:$A$213,A9,'Büküm Parçaları'!$I$2:$I$213)</f>
        <v>52.094999999999999</v>
      </c>
      <c r="X9" s="70">
        <f>(I9*'İşçilik Parametreleri'!$B$18+IF(L9&gt;'İşçilik Parametreleri'!$B$21,'İşçilik Parametreleri'!$B$20,'İşçilik Parametreleri'!$B$19)+N9*'İşçilik Parametreleri'!$B$22)*'İşçilik Parametreleri'!$B$23</f>
        <v>68.75</v>
      </c>
      <c r="Y9" s="70">
        <f>(IF('İşçilik Parametreleri'!$B$27="Resme göre",(Q9*INDEX('İşçilik Parametreleri'!$F$16:$I$20,1,MATCH('İşçilik Parametreleri'!$B$26,{"Manuel","Robot","HTD","Lazer"},0))+R9*INDEX('İşçilik Parametreleri'!$F$16:$I$20,2,MATCH('İşçilik Parametreleri'!$B$26,{"Manuel","Robot","HTD","Lazer"},0))+S9*INDEX('İşçilik Parametreleri'!$F$16:$I$20,3,MATCH('İşçilik Parametreleri'!$B$26,{"Manuel","Robot","HTD","Lazer"},0))+T9*INDEX('İşçilik Parametreleri'!$F$16:$I$20,4,MATCH('İşçilik Parametreleri'!$B$26,{"Manuel","Robot","HTD","Lazer"},0))+U9*INDEX('İşçilik Parametreleri'!$F$16:$I$20,5,MATCH('İşçilik Parametreleri'!$B$26,{"Manuel","Robot","HTD","Lazer"},0))),SUM(Q9:U9)*INDEX('İşçilik Parametreleri'!$F$16:$I$20,MATCH(VALUE('İşçilik Parametreleri'!$B$27),'İşçilik Parametreleri'!$E$16:$E$20,0),MATCH('İşçilik Parametreleri'!$B$26,{"Manuel","Robot","HTD","Lazer"},0)))*'İşçilik Parametreleri'!$B$28/1000+O9*IF(OR('İşçilik Parametreleri'!$B$26="Robot",'İşçilik Parametreleri'!$B$26="HTD"),'İşçilik Parametreleri'!$B$30,'İşçilik Parametreleri'!$B$29))*'İşçilik Parametreleri'!$B$31</f>
        <v>91.275999999999996</v>
      </c>
      <c r="Z9" s="74">
        <f t="shared" si="1"/>
        <v>127.27259999999998</v>
      </c>
      <c r="AA9" s="75" t="s">
        <v>94</v>
      </c>
      <c r="AB9" s="76">
        <v>4</v>
      </c>
      <c r="AC9" s="77">
        <f>IF(AA9="Kataforez",N(AB9),IF(AA9="Yaş boya",'İşçilik Parametreleri'!$B$6/MAX(1,ROUND(IF(ISNUMBER(AB9),AB9,'İşçilik Parametreleri'!$B$7),0)),0))</f>
        <v>4</v>
      </c>
      <c r="AD9" s="78">
        <f>W9/100*'İşçilik Parametreleri'!$B$9+X9/100*'İşçilik Parametreleri'!$B$17+Y9/100*'İşçilik Parametreleri'!$B$25</f>
        <v>42.424199999999999</v>
      </c>
      <c r="AE9" s="78">
        <f t="shared" si="2"/>
        <v>46.424199999999999</v>
      </c>
      <c r="AF9" s="75">
        <v>56</v>
      </c>
      <c r="AG9" s="79">
        <f>AD9*AF9+IF(AA9="Kataforez",N(AB9)*AF9,IF(AA9="Yaş boya",ROUNDUP(AF9/MAX(1,ROUND(IF(ISNUMBER(AB9),AB9,'İşçilik Parametreleri'!$B$7),0)),0)*'İşçilik Parametreleri'!$B$6,0))</f>
        <v>2599.7552000000001</v>
      </c>
      <c r="AH9" s="70">
        <f t="shared" si="3"/>
        <v>118.78775999999998</v>
      </c>
    </row>
    <row r="10" spans="1:34" ht="15" customHeight="1" x14ac:dyDescent="0.25">
      <c r="A10" s="67" t="s">
        <v>444</v>
      </c>
      <c r="B10" s="68" t="s">
        <v>439</v>
      </c>
      <c r="C10" s="69" t="s">
        <v>102</v>
      </c>
      <c r="D10" s="68" t="s">
        <v>103</v>
      </c>
      <c r="E10" s="68" t="s">
        <v>440</v>
      </c>
      <c r="F10" s="68">
        <v>3</v>
      </c>
      <c r="G10" s="68">
        <v>5</v>
      </c>
      <c r="H10" s="68">
        <v>11</v>
      </c>
      <c r="I10" s="68">
        <v>9</v>
      </c>
      <c r="J10" s="68">
        <v>4</v>
      </c>
      <c r="K10" s="70">
        <v>32.555999999999997</v>
      </c>
      <c r="L10" s="70">
        <v>33.158000000000001</v>
      </c>
      <c r="M10" s="71">
        <f t="shared" si="0"/>
        <v>1.8491215136994837E-2</v>
      </c>
      <c r="N10" s="68">
        <v>16</v>
      </c>
      <c r="O10" s="68">
        <v>16</v>
      </c>
      <c r="P10" s="68">
        <v>0</v>
      </c>
      <c r="Q10" s="72">
        <v>0</v>
      </c>
      <c r="R10" s="72">
        <v>2925</v>
      </c>
      <c r="S10" s="72">
        <v>0</v>
      </c>
      <c r="T10" s="72">
        <v>0</v>
      </c>
      <c r="U10" s="72">
        <v>0</v>
      </c>
      <c r="V10" s="73">
        <f>SUM(Q10:U10)*'İşçilik Parametreleri'!$B$28/1000</f>
        <v>2.9249999999999998</v>
      </c>
      <c r="W10" s="70">
        <f>SUMIF('Büküm Parçaları'!$A$2:$A$213,A10,'Büküm Parçaları'!$I$2:$I$213)</f>
        <v>32.2575</v>
      </c>
      <c r="X10" s="70">
        <f>(I10*'İşçilik Parametreleri'!$B$18+IF(L10&gt;'İşçilik Parametreleri'!$B$21,'İşçilik Parametreleri'!$B$20,'İşçilik Parametreleri'!$B$19)+N10*'İşçilik Parametreleri'!$B$22)*'İşçilik Parametreleri'!$B$23</f>
        <v>40</v>
      </c>
      <c r="Y10" s="70">
        <f>(IF('İşçilik Parametreleri'!$B$27="Resme göre",(Q10*INDEX('İşçilik Parametreleri'!$F$16:$I$20,1,MATCH('İşçilik Parametreleri'!$B$26,{"Manuel","Robot","HTD","Lazer"},0))+R10*INDEX('İşçilik Parametreleri'!$F$16:$I$20,2,MATCH('İşçilik Parametreleri'!$B$26,{"Manuel","Robot","HTD","Lazer"},0))+S10*INDEX('İşçilik Parametreleri'!$F$16:$I$20,3,MATCH('İşçilik Parametreleri'!$B$26,{"Manuel","Robot","HTD","Lazer"},0))+T10*INDEX('İşçilik Parametreleri'!$F$16:$I$20,4,MATCH('İşçilik Parametreleri'!$B$26,{"Manuel","Robot","HTD","Lazer"},0))+U10*INDEX('İşçilik Parametreleri'!$F$16:$I$20,5,MATCH('İşçilik Parametreleri'!$B$26,{"Manuel","Robot","HTD","Lazer"},0))),SUM(Q10:U10)*INDEX('İşçilik Parametreleri'!$F$16:$I$20,MATCH(VALUE('İşçilik Parametreleri'!$B$27),'İşçilik Parametreleri'!$E$16:$E$20,0),MATCH('İşçilik Parametreleri'!$B$26,{"Manuel","Robot","HTD","Lazer"},0)))*'İşçilik Parametreleri'!$B$28/1000+O10*IF(OR('İşçilik Parametreleri'!$B$26="Robot",'İşçilik Parametreleri'!$B$26="HTD"),'İşçilik Parametreleri'!$B$30,'İşçilik Parametreleri'!$B$29))*'İşçilik Parametreleri'!$B$31</f>
        <v>48.174999999999997</v>
      </c>
      <c r="Z10" s="74">
        <f t="shared" si="1"/>
        <v>72.259499999999989</v>
      </c>
      <c r="AA10" s="75" t="s">
        <v>86</v>
      </c>
      <c r="AB10" s="76">
        <v>10000</v>
      </c>
      <c r="AC10" s="77">
        <f>IF(AA10="Kataforez",N(AB10),IF(AA10="Yaş boya",'İşçilik Parametreleri'!$B$6/MAX(1,ROUND(IF(ISNUMBER(AB10),AB10,'İşçilik Parametreleri'!$B$7),0)),0))</f>
        <v>8.0000000000000002E-3</v>
      </c>
      <c r="AD10" s="78">
        <f>W10/100*'İşçilik Parametreleri'!$B$9+X10/100*'İşçilik Parametreleri'!$B$17+Y10/100*'İşçilik Parametreleri'!$B$25</f>
        <v>24.086500000000001</v>
      </c>
      <c r="AE10" s="78">
        <f t="shared" si="2"/>
        <v>24.0945</v>
      </c>
      <c r="AF10" s="75">
        <v>83</v>
      </c>
      <c r="AG10" s="79">
        <f>AD10*AF10+IF(AA10="Kataforez",N(AB10)*AF10,IF(AA10="Yaş boya",ROUNDUP(AF10/MAX(1,ROUND(IF(ISNUMBER(AB10),AB10,'İşçilik Parametreleri'!$B$7),0)),0)*'İşçilik Parametreleri'!$B$6,0))</f>
        <v>2079.1795000000002</v>
      </c>
      <c r="AH10" s="70">
        <f t="shared" si="3"/>
        <v>99.958974999999995</v>
      </c>
    </row>
    <row r="11" spans="1:34" ht="15" customHeight="1" x14ac:dyDescent="0.25">
      <c r="A11" s="82" t="s">
        <v>445</v>
      </c>
      <c r="B11" s="68" t="s">
        <v>439</v>
      </c>
      <c r="C11" s="69" t="s">
        <v>104</v>
      </c>
      <c r="D11" s="68" t="s">
        <v>105</v>
      </c>
      <c r="E11" s="68" t="s">
        <v>94</v>
      </c>
      <c r="F11" s="68">
        <v>1</v>
      </c>
      <c r="G11" s="68">
        <v>5</v>
      </c>
      <c r="H11" s="68">
        <v>6</v>
      </c>
      <c r="I11" s="68">
        <v>6</v>
      </c>
      <c r="J11" s="68">
        <v>6</v>
      </c>
      <c r="K11" s="70">
        <v>17.853999999999999</v>
      </c>
      <c r="L11" s="70">
        <v>17.844000000000001</v>
      </c>
      <c r="M11" s="71">
        <f t="shared" si="0"/>
        <v>-5.6009857734950217E-4</v>
      </c>
      <c r="N11" s="68">
        <v>8</v>
      </c>
      <c r="O11" s="68">
        <v>8</v>
      </c>
      <c r="P11" s="68">
        <v>0</v>
      </c>
      <c r="Q11" s="72">
        <v>120</v>
      </c>
      <c r="R11" s="72">
        <v>640</v>
      </c>
      <c r="S11" s="72">
        <v>0</v>
      </c>
      <c r="T11" s="72">
        <v>0</v>
      </c>
      <c r="U11" s="72">
        <v>0</v>
      </c>
      <c r="V11" s="73">
        <f>SUM(Q11:U11)*'İşçilik Parametreleri'!$B$28/1000</f>
        <v>0.76</v>
      </c>
      <c r="W11" s="70">
        <f>SUMIF('Büküm Parçaları'!$A$2:$A$213,A11,'Büküm Parçaları'!$I$2:$I$213)</f>
        <v>34.557500000000005</v>
      </c>
      <c r="X11" s="70">
        <f>(I11*'İşçilik Parametreleri'!$B$18+IF(L11&gt;'İşçilik Parametreleri'!$B$21,'İşçilik Parametreleri'!$B$20,'İşçilik Parametreleri'!$B$19)+N11*'İşçilik Parametreleri'!$B$22)*'İşçilik Parametreleri'!$B$23</f>
        <v>21.662499999999998</v>
      </c>
      <c r="Y11" s="70">
        <f>(IF('İşçilik Parametreleri'!$B$27="Resme göre",(Q11*INDEX('İşçilik Parametreleri'!$F$16:$I$20,1,MATCH('İşçilik Parametreleri'!$B$26,{"Manuel","Robot","HTD","Lazer"},0))+R11*INDEX('İşçilik Parametreleri'!$F$16:$I$20,2,MATCH('İşçilik Parametreleri'!$B$26,{"Manuel","Robot","HTD","Lazer"},0))+S11*INDEX('İşçilik Parametreleri'!$F$16:$I$20,3,MATCH('İşçilik Parametreleri'!$B$26,{"Manuel","Robot","HTD","Lazer"},0))+T11*INDEX('İşçilik Parametreleri'!$F$16:$I$20,4,MATCH('İşçilik Parametreleri'!$B$26,{"Manuel","Robot","HTD","Lazer"},0))+U11*INDEX('İşçilik Parametreleri'!$F$16:$I$20,5,MATCH('İşçilik Parametreleri'!$B$26,{"Manuel","Robot","HTD","Lazer"},0))),SUM(Q11:U11)*INDEX('İşçilik Parametreleri'!$F$16:$I$20,MATCH(VALUE('İşçilik Parametreleri'!$B$27),'İşçilik Parametreleri'!$E$16:$E$20,0),MATCH('İşçilik Parametreleri'!$B$26,{"Manuel","Robot","HTD","Lazer"},0)))*'İşçilik Parametreleri'!$B$28/1000+O11*IF(OR('İşçilik Parametreleri'!$B$26="Robot",'İşçilik Parametreleri'!$B$26="HTD"),'İşçilik Parametreleri'!$B$30,'İşçilik Parametreleri'!$B$29))*'İşçilik Parametreleri'!$B$31</f>
        <v>15.879999999999999</v>
      </c>
      <c r="Z11" s="74">
        <f t="shared" si="1"/>
        <v>43.26</v>
      </c>
      <c r="AA11" s="75" t="s">
        <v>94</v>
      </c>
      <c r="AB11" s="76"/>
      <c r="AC11" s="77">
        <f>IF(AA11="Kataforez",N(AB11),IF(AA11="Yaş boya",'İşçilik Parametreleri'!$B$6/MAX(1,ROUND(IF(ISNUMBER(AB11),AB11,'İşçilik Parametreleri'!$B$7),0)),0))</f>
        <v>0</v>
      </c>
      <c r="AD11" s="78">
        <f>W11/100*'İşçilik Parametreleri'!$B$9+X11/100*'İşçilik Parametreleri'!$B$17+Y11/100*'İşçilik Parametreleri'!$B$25</f>
        <v>14.42</v>
      </c>
      <c r="AE11" s="78">
        <f t="shared" si="2"/>
        <v>14.42</v>
      </c>
      <c r="AF11" s="75">
        <v>124</v>
      </c>
      <c r="AG11" s="79">
        <f>AD11*AF11+IF(AA11="Kataforez",N(AB11)*AF11,IF(AA11="Yaş boya",ROUNDUP(AF11/MAX(1,ROUND(IF(ISNUMBER(AB11),AB11,'İşçilik Parametreleri'!$B$7),0)),0)*'İşçilik Parametreleri'!$B$6,0))</f>
        <v>1788.08</v>
      </c>
      <c r="AH11" s="70">
        <f t="shared" si="3"/>
        <v>89.403999999999996</v>
      </c>
    </row>
    <row r="12" spans="1:34" ht="15" customHeight="1" x14ac:dyDescent="0.25">
      <c r="A12" s="82" t="s">
        <v>446</v>
      </c>
      <c r="B12" s="80" t="s">
        <v>23</v>
      </c>
      <c r="C12" s="81" t="s">
        <v>106</v>
      </c>
      <c r="D12" s="68" t="s">
        <v>107</v>
      </c>
      <c r="E12" s="68" t="s">
        <v>447</v>
      </c>
      <c r="F12" s="68">
        <v>1</v>
      </c>
      <c r="G12" s="68">
        <v>2</v>
      </c>
      <c r="H12" s="68">
        <v>3</v>
      </c>
      <c r="I12" s="68">
        <v>3</v>
      </c>
      <c r="J12" s="68">
        <v>1</v>
      </c>
      <c r="K12" s="70">
        <v>3.5590000000000002</v>
      </c>
      <c r="L12" s="70">
        <v>3.4020000000000001</v>
      </c>
      <c r="M12" s="71">
        <f t="shared" si="0"/>
        <v>-4.411351503231245E-2</v>
      </c>
      <c r="N12" s="68">
        <v>4</v>
      </c>
      <c r="O12" s="68">
        <v>4</v>
      </c>
      <c r="P12" s="68">
        <v>0</v>
      </c>
      <c r="Q12" s="72">
        <v>0</v>
      </c>
      <c r="R12" s="72">
        <v>0</v>
      </c>
      <c r="S12" s="72">
        <v>0</v>
      </c>
      <c r="T12" s="72">
        <v>0</v>
      </c>
      <c r="U12" s="72">
        <v>560</v>
      </c>
      <c r="V12" s="73">
        <f>SUM(Q12:U12)*'İşçilik Parametreleri'!$B$28/1000</f>
        <v>0.56000000000000005</v>
      </c>
      <c r="W12" s="70">
        <f>SUMIF('Büküm Parçaları'!$A$2:$A$213,A12,'Büküm Parçaları'!$I$2:$I$213)</f>
        <v>5.4049999999999994</v>
      </c>
      <c r="X12" s="70">
        <f>(I12*'İşçilik Parametreleri'!$B$18+IF(L12&gt;'İşçilik Parametreleri'!$B$21,'İşçilik Parametreleri'!$B$20,'İşçilik Parametreleri'!$B$19)+N12*'İşçilik Parametreleri'!$B$22)*'İşçilik Parametreleri'!$B$23</f>
        <v>12.9125</v>
      </c>
      <c r="Y12" s="70">
        <f>(IF('İşçilik Parametreleri'!$B$27="Resme göre",(Q12*INDEX('İşçilik Parametreleri'!$F$16:$I$20,1,MATCH('İşçilik Parametreleri'!$B$26,{"Manuel","Robot","HTD","Lazer"},0))+R12*INDEX('İşçilik Parametreleri'!$F$16:$I$20,2,MATCH('İşçilik Parametreleri'!$B$26,{"Manuel","Robot","HTD","Lazer"},0))+S12*INDEX('İşçilik Parametreleri'!$F$16:$I$20,3,MATCH('İşçilik Parametreleri'!$B$26,{"Manuel","Robot","HTD","Lazer"},0))+T12*INDEX('İşçilik Parametreleri'!$F$16:$I$20,4,MATCH('İşçilik Parametreleri'!$B$26,{"Manuel","Robot","HTD","Lazer"},0))+U12*INDEX('İşçilik Parametreleri'!$F$16:$I$20,5,MATCH('İşçilik Parametreleri'!$B$26,{"Manuel","Robot","HTD","Lazer"},0))),SUM(Q12:U12)*INDEX('İşçilik Parametreleri'!$F$16:$I$20,MATCH(VALUE('İşçilik Parametreleri'!$B$27),'İşçilik Parametreleri'!$E$16:$E$20,0),MATCH('İşçilik Parametreleri'!$B$26,{"Manuel","Robot","HTD","Lazer"},0)))*'İşçilik Parametreleri'!$B$28/1000+O12*IF(OR('İşçilik Parametreleri'!$B$26="Robot",'İşçilik Parametreleri'!$B$26="HTD"),'İşçilik Parametreleri'!$B$30,'İşçilik Parametreleri'!$B$29))*'İşçilik Parametreleri'!$B$31</f>
        <v>21.36</v>
      </c>
      <c r="Z12" s="74">
        <f t="shared" si="1"/>
        <v>23.806499999999996</v>
      </c>
      <c r="AA12" s="75" t="s">
        <v>86</v>
      </c>
      <c r="AB12" s="76">
        <v>10000</v>
      </c>
      <c r="AC12" s="77">
        <f>IF(AA12="Kataforez",N(AB12),IF(AA12="Yaş boya",'İşçilik Parametreleri'!$B$6/MAX(1,ROUND(IF(ISNUMBER(AB12),AB12,'İşçilik Parametreleri'!$B$7),0)),0))</f>
        <v>8.0000000000000002E-3</v>
      </c>
      <c r="AD12" s="78">
        <f>W12/100*'İşçilik Parametreleri'!$B$9+X12/100*'İşçilik Parametreleri'!$B$17+Y12/100*'İşçilik Parametreleri'!$B$25</f>
        <v>7.9354999999999993</v>
      </c>
      <c r="AE12" s="78">
        <f t="shared" si="2"/>
        <v>7.9434999999999993</v>
      </c>
      <c r="AF12" s="75">
        <v>204</v>
      </c>
      <c r="AG12" s="79">
        <f>AD12*AF12+IF(AA12="Kataforez",N(AB12)*AF12,IF(AA12="Yaş boya",ROUNDUP(AF12/MAX(1,ROUND(IF(ISNUMBER(AB12),AB12,'İşçilik Parametreleri'!$B$7),0)),0)*'İşçilik Parametreleri'!$B$6,0))</f>
        <v>1698.8419999999999</v>
      </c>
      <c r="AH12" s="70">
        <f t="shared" si="3"/>
        <v>80.942099999999996</v>
      </c>
    </row>
    <row r="13" spans="1:34" ht="15" customHeight="1" x14ac:dyDescent="0.25">
      <c r="A13" s="82" t="s">
        <v>448</v>
      </c>
      <c r="B13" s="68" t="s">
        <v>439</v>
      </c>
      <c r="C13" s="69" t="s">
        <v>108</v>
      </c>
      <c r="D13" s="68" t="s">
        <v>93</v>
      </c>
      <c r="E13" s="68" t="s">
        <v>94</v>
      </c>
      <c r="F13" s="68">
        <v>1</v>
      </c>
      <c r="G13" s="68">
        <v>4</v>
      </c>
      <c r="H13" s="68">
        <v>7</v>
      </c>
      <c r="I13" s="68">
        <v>7</v>
      </c>
      <c r="J13" s="68">
        <v>5</v>
      </c>
      <c r="K13" s="70">
        <v>11.157</v>
      </c>
      <c r="L13" s="70">
        <v>10.973000000000001</v>
      </c>
      <c r="M13" s="71">
        <f t="shared" si="0"/>
        <v>-1.64918885004929E-2</v>
      </c>
      <c r="N13" s="68">
        <v>10</v>
      </c>
      <c r="O13" s="68">
        <v>10</v>
      </c>
      <c r="P13" s="68">
        <v>0</v>
      </c>
      <c r="Q13" s="72">
        <v>2541</v>
      </c>
      <c r="R13" s="72">
        <v>0</v>
      </c>
      <c r="S13" s="72">
        <v>0</v>
      </c>
      <c r="T13" s="72">
        <v>0</v>
      </c>
      <c r="U13" s="72">
        <v>0</v>
      </c>
      <c r="V13" s="73">
        <f>SUM(Q13:U13)*'İşçilik Parametreleri'!$B$28/1000</f>
        <v>2.5409999999999999</v>
      </c>
      <c r="W13" s="70">
        <f>SUMIF('Büküm Parçaları'!$A$2:$A$213,A13,'Büküm Parçaları'!$I$2:$I$213)</f>
        <v>14.259999999999998</v>
      </c>
      <c r="X13" s="70">
        <f>(I13*'İşçilik Parametreleri'!$B$18+IF(L13&gt;'İşçilik Parametreleri'!$B$21,'İşçilik Parametreleri'!$B$20,'İşçilik Parametreleri'!$B$19)+N13*'İşçilik Parametreleri'!$B$22)*'İşçilik Parametreleri'!$B$23</f>
        <v>25.412499999999998</v>
      </c>
      <c r="Y13" s="70">
        <f>(IF('İşçilik Parametreleri'!$B$27="Resme göre",(Q13*INDEX('İşçilik Parametreleri'!$F$16:$I$20,1,MATCH('İşçilik Parametreleri'!$B$26,{"Manuel","Robot","HTD","Lazer"},0))+R13*INDEX('İşçilik Parametreleri'!$F$16:$I$20,2,MATCH('İşçilik Parametreleri'!$B$26,{"Manuel","Robot","HTD","Lazer"},0))+S13*INDEX('İşçilik Parametreleri'!$F$16:$I$20,3,MATCH('İşçilik Parametreleri'!$B$26,{"Manuel","Robot","HTD","Lazer"},0))+T13*INDEX('İşçilik Parametreleri'!$F$16:$I$20,4,MATCH('İşçilik Parametreleri'!$B$26,{"Manuel","Robot","HTD","Lazer"},0))+U13*INDEX('İşçilik Parametreleri'!$F$16:$I$20,5,MATCH('İşçilik Parametreleri'!$B$26,{"Manuel","Robot","HTD","Lazer"},0))),SUM(Q13:U13)*INDEX('İşçilik Parametreleri'!$F$16:$I$20,MATCH(VALUE('İşçilik Parametreleri'!$B$27),'İşçilik Parametreleri'!$E$16:$E$20,0),MATCH('İşçilik Parametreleri'!$B$26,{"Manuel","Robot","HTD","Lazer"},0)))*'İşçilik Parametreleri'!$B$28/1000+O13*IF(OR('İşçilik Parametreleri'!$B$26="Robot",'İşçilik Parametreleri'!$B$26="HTD"),'İşçilik Parametreleri'!$B$30,'İşçilik Parametreleri'!$B$29))*'İşçilik Parametreleri'!$B$31</f>
        <v>27.786999999999999</v>
      </c>
      <c r="Z13" s="74">
        <f t="shared" si="1"/>
        <v>40.475699999999996</v>
      </c>
      <c r="AA13" s="75" t="s">
        <v>94</v>
      </c>
      <c r="AB13" s="76"/>
      <c r="AC13" s="77">
        <f>IF(AA13="Kataforez",N(AB13),IF(AA13="Yaş boya",'İşçilik Parametreleri'!$B$6/MAX(1,ROUND(IF(ISNUMBER(AB13),AB13,'İşçilik Parametreleri'!$B$7),0)),0))</f>
        <v>0</v>
      </c>
      <c r="AD13" s="78">
        <f>W13/100*'İşçilik Parametreleri'!$B$9+X13/100*'İşçilik Parametreleri'!$B$17+Y13/100*'İşçilik Parametreleri'!$B$25</f>
        <v>13.491899999999999</v>
      </c>
      <c r="AE13" s="78">
        <f t="shared" si="2"/>
        <v>13.491899999999999</v>
      </c>
      <c r="AF13" s="75">
        <v>122</v>
      </c>
      <c r="AG13" s="79">
        <f>AD13*AF13+IF(AA13="Kataforez",N(AB13)*AF13,IF(AA13="Yaş boya",ROUNDUP(AF13/MAX(1,ROUND(IF(ISNUMBER(AB13),AB13,'İşçilik Parametreleri'!$B$7),0)),0)*'İşçilik Parametreleri'!$B$6,0))</f>
        <v>1646.0118</v>
      </c>
      <c r="AH13" s="70">
        <f t="shared" si="3"/>
        <v>82.30059</v>
      </c>
    </row>
    <row r="14" spans="1:34" ht="15" customHeight="1" x14ac:dyDescent="0.25">
      <c r="A14" s="82" t="s">
        <v>449</v>
      </c>
      <c r="B14" s="80" t="s">
        <v>23</v>
      </c>
      <c r="C14" s="81" t="s">
        <v>109</v>
      </c>
      <c r="D14" s="68" t="s">
        <v>110</v>
      </c>
      <c r="E14" s="68" t="s">
        <v>447</v>
      </c>
      <c r="F14" s="68">
        <v>1</v>
      </c>
      <c r="G14" s="68">
        <v>2</v>
      </c>
      <c r="H14" s="68">
        <v>3</v>
      </c>
      <c r="I14" s="68">
        <v>3</v>
      </c>
      <c r="J14" s="68">
        <v>2</v>
      </c>
      <c r="K14" s="70">
        <v>1.0620000000000001</v>
      </c>
      <c r="L14" s="70">
        <v>1.0609999999999999</v>
      </c>
      <c r="M14" s="71">
        <f t="shared" si="0"/>
        <v>-9.4161958568748764E-4</v>
      </c>
      <c r="N14" s="68">
        <v>2</v>
      </c>
      <c r="O14" s="68">
        <v>2</v>
      </c>
      <c r="P14" s="68">
        <v>0</v>
      </c>
      <c r="Q14" s="72">
        <v>0</v>
      </c>
      <c r="R14" s="72">
        <v>300</v>
      </c>
      <c r="S14" s="72">
        <v>0</v>
      </c>
      <c r="T14" s="72">
        <v>0</v>
      </c>
      <c r="U14" s="72">
        <v>0</v>
      </c>
      <c r="V14" s="73">
        <f>SUM(Q14:U14)*'İşçilik Parametreleri'!$B$28/1000</f>
        <v>0.3</v>
      </c>
      <c r="W14" s="70">
        <f>SUMIF('Büküm Parçaları'!$A$2:$A$213,A14,'Büküm Parçaları'!$I$2:$I$213)</f>
        <v>6.5549999999999997</v>
      </c>
      <c r="X14" s="70">
        <f>(I14*'İşçilik Parametreleri'!$B$18+IF(L14&gt;'İşçilik Parametreleri'!$B$21,'İşçilik Parametreleri'!$B$20,'İşçilik Parametreleri'!$B$19)+N14*'İşçilik Parametreleri'!$B$22)*'İşçilik Parametreleri'!$B$23</f>
        <v>10.4125</v>
      </c>
      <c r="Y14" s="70">
        <f>(IF('İşçilik Parametreleri'!$B$27="Resme göre",(Q14*INDEX('İşçilik Parametreleri'!$F$16:$I$20,1,MATCH('İşçilik Parametreleri'!$B$26,{"Manuel","Robot","HTD","Lazer"},0))+R14*INDEX('İşçilik Parametreleri'!$F$16:$I$20,2,MATCH('İşçilik Parametreleri'!$B$26,{"Manuel","Robot","HTD","Lazer"},0))+S14*INDEX('İşçilik Parametreleri'!$F$16:$I$20,3,MATCH('İşçilik Parametreleri'!$B$26,{"Manuel","Robot","HTD","Lazer"},0))+T14*INDEX('İşçilik Parametreleri'!$F$16:$I$20,4,MATCH('İşçilik Parametreleri'!$B$26,{"Manuel","Robot","HTD","Lazer"},0))+U14*INDEX('İşçilik Parametreleri'!$F$16:$I$20,5,MATCH('İşçilik Parametreleri'!$B$26,{"Manuel","Robot","HTD","Lazer"},0))),SUM(Q14:U14)*INDEX('İşçilik Parametreleri'!$F$16:$I$20,MATCH(VALUE('İşçilik Parametreleri'!$B$27),'İşçilik Parametreleri'!$E$16:$E$20,0),MATCH('İşçilik Parametreleri'!$B$26,{"Manuel","Robot","HTD","Lazer"},0)))*'İşçilik Parametreleri'!$B$28/1000+O14*IF(OR('İşçilik Parametreleri'!$B$26="Robot",'İşçilik Parametreleri'!$B$26="HTD"),'İşçilik Parametreleri'!$B$30,'İşçilik Parametreleri'!$B$29))*'İşçilik Parametreleri'!$B$31</f>
        <v>5.3</v>
      </c>
      <c r="Z14" s="74">
        <f t="shared" si="1"/>
        <v>13.3605</v>
      </c>
      <c r="AA14" s="75" t="s">
        <v>86</v>
      </c>
      <c r="AB14" s="76">
        <v>10000</v>
      </c>
      <c r="AC14" s="77">
        <f>IF(AA14="Kataforez",N(AB14),IF(AA14="Yaş boya",'İşçilik Parametreleri'!$B$6/MAX(1,ROUND(IF(ISNUMBER(AB14),AB14,'İşçilik Parametreleri'!$B$7),0)),0))</f>
        <v>8.0000000000000002E-3</v>
      </c>
      <c r="AD14" s="78">
        <f>W14/100*'İşçilik Parametreleri'!$B$9+X14/100*'İşçilik Parametreleri'!$B$17+Y14/100*'İşçilik Parametreleri'!$B$25</f>
        <v>4.4535</v>
      </c>
      <c r="AE14" s="78">
        <f t="shared" si="2"/>
        <v>4.4615</v>
      </c>
      <c r="AF14" s="75">
        <v>332</v>
      </c>
      <c r="AG14" s="79">
        <f>AD14*AF14+IF(AA14="Kataforez",N(AB14)*AF14,IF(AA14="Yaş boya",ROUNDUP(AF14/MAX(1,ROUND(IF(ISNUMBER(AB14),AB14,'İşçilik Parametreleri'!$B$7),0)),0)*'İşçilik Parametreleri'!$B$6,0))</f>
        <v>1558.5619999999999</v>
      </c>
      <c r="AH14" s="70">
        <f t="shared" si="3"/>
        <v>73.928100000000001</v>
      </c>
    </row>
    <row r="15" spans="1:34" ht="15" customHeight="1" x14ac:dyDescent="0.25">
      <c r="A15" s="82" t="s">
        <v>450</v>
      </c>
      <c r="B15" s="68" t="s">
        <v>439</v>
      </c>
      <c r="C15" s="69" t="s">
        <v>111</v>
      </c>
      <c r="D15" s="68" t="s">
        <v>93</v>
      </c>
      <c r="E15" s="68" t="s">
        <v>94</v>
      </c>
      <c r="F15" s="68">
        <v>1</v>
      </c>
      <c r="G15" s="68">
        <v>3</v>
      </c>
      <c r="H15" s="68">
        <v>7</v>
      </c>
      <c r="I15" s="68">
        <v>7</v>
      </c>
      <c r="J15" s="68">
        <v>5</v>
      </c>
      <c r="K15" s="70">
        <v>12.201000000000001</v>
      </c>
      <c r="L15" s="70">
        <v>12.225</v>
      </c>
      <c r="M15" s="71">
        <f t="shared" si="0"/>
        <v>1.9670518809932901E-3</v>
      </c>
      <c r="N15" s="68">
        <v>10</v>
      </c>
      <c r="O15" s="68">
        <v>10</v>
      </c>
      <c r="P15" s="68">
        <v>0</v>
      </c>
      <c r="Q15" s="72">
        <v>2541</v>
      </c>
      <c r="R15" s="72">
        <v>0</v>
      </c>
      <c r="S15" s="72">
        <v>0</v>
      </c>
      <c r="T15" s="72">
        <v>0</v>
      </c>
      <c r="U15" s="72">
        <v>0</v>
      </c>
      <c r="V15" s="73">
        <f>SUM(Q15:U15)*'İşçilik Parametreleri'!$B$28/1000</f>
        <v>2.5409999999999999</v>
      </c>
      <c r="W15" s="70">
        <f>SUMIF('Büküm Parçaları'!$A$2:$A$213,A15,'Büküm Parçaları'!$I$2:$I$213)</f>
        <v>19.578749999999999</v>
      </c>
      <c r="X15" s="70">
        <f>(I15*'İşçilik Parametreleri'!$B$18+IF(L15&gt;'İşçilik Parametreleri'!$B$21,'İşçilik Parametreleri'!$B$20,'İşçilik Parametreleri'!$B$19)+N15*'İşçilik Parametreleri'!$B$22)*'İşçilik Parametreleri'!$B$23</f>
        <v>25.412499999999998</v>
      </c>
      <c r="Y15" s="70">
        <f>(IF('İşçilik Parametreleri'!$B$27="Resme göre",(Q15*INDEX('İşçilik Parametreleri'!$F$16:$I$20,1,MATCH('İşçilik Parametreleri'!$B$26,{"Manuel","Robot","HTD","Lazer"},0))+R15*INDEX('İşçilik Parametreleri'!$F$16:$I$20,2,MATCH('İşçilik Parametreleri'!$B$26,{"Manuel","Robot","HTD","Lazer"},0))+S15*INDEX('İşçilik Parametreleri'!$F$16:$I$20,3,MATCH('İşçilik Parametreleri'!$B$26,{"Manuel","Robot","HTD","Lazer"},0))+T15*INDEX('İşçilik Parametreleri'!$F$16:$I$20,4,MATCH('İşçilik Parametreleri'!$B$26,{"Manuel","Robot","HTD","Lazer"},0))+U15*INDEX('İşçilik Parametreleri'!$F$16:$I$20,5,MATCH('İşçilik Parametreleri'!$B$26,{"Manuel","Robot","HTD","Lazer"},0))),SUM(Q15:U15)*INDEX('İşçilik Parametreleri'!$F$16:$I$20,MATCH(VALUE('İşçilik Parametreleri'!$B$27),'İşçilik Parametreleri'!$E$16:$E$20,0),MATCH('İşçilik Parametreleri'!$B$26,{"Manuel","Robot","HTD","Lazer"},0)))*'İşçilik Parametreleri'!$B$28/1000+O15*IF(OR('İşçilik Parametreleri'!$B$26="Robot",'İşçilik Parametreleri'!$B$26="HTD"),'İşçilik Parametreleri'!$B$30,'İşçilik Parametreleri'!$B$29))*'İşçilik Parametreleri'!$B$31</f>
        <v>27.786999999999999</v>
      </c>
      <c r="Z15" s="74">
        <f t="shared" si="1"/>
        <v>43.666949999999993</v>
      </c>
      <c r="AA15" s="75" t="s">
        <v>94</v>
      </c>
      <c r="AB15" s="76"/>
      <c r="AC15" s="77">
        <f>IF(AA15="Kataforez",N(AB15),IF(AA15="Yaş boya",'İşçilik Parametreleri'!$B$6/MAX(1,ROUND(IF(ISNUMBER(AB15),AB15,'İşçilik Parametreleri'!$B$7),0)),0))</f>
        <v>0</v>
      </c>
      <c r="AD15" s="78">
        <f>W15/100*'İşçilik Parametreleri'!$B$9+X15/100*'İşçilik Parametreleri'!$B$17+Y15/100*'İşçilik Parametreleri'!$B$25</f>
        <v>14.55565</v>
      </c>
      <c r="AE15" s="78">
        <f t="shared" si="2"/>
        <v>14.55565</v>
      </c>
      <c r="AF15" s="75">
        <v>106</v>
      </c>
      <c r="AG15" s="79">
        <f>AD15*AF15+IF(AA15="Kataforez",N(AB15)*AF15,IF(AA15="Yaş boya",ROUNDUP(AF15/MAX(1,ROUND(IF(ISNUMBER(AB15),AB15,'İşçilik Parametreleri'!$B$7),0)),0)*'İşçilik Parametreleri'!$B$6,0))</f>
        <v>1542.8988999999999</v>
      </c>
      <c r="AH15" s="70">
        <f t="shared" si="3"/>
        <v>77.144944999999993</v>
      </c>
    </row>
    <row r="16" spans="1:34" ht="15" customHeight="1" x14ac:dyDescent="0.25">
      <c r="A16" s="82" t="s">
        <v>451</v>
      </c>
      <c r="B16" s="68" t="s">
        <v>439</v>
      </c>
      <c r="C16" s="69" t="s">
        <v>112</v>
      </c>
      <c r="D16" s="68" t="s">
        <v>113</v>
      </c>
      <c r="E16" s="68" t="s">
        <v>442</v>
      </c>
      <c r="F16" s="68">
        <v>1</v>
      </c>
      <c r="G16" s="68">
        <v>4</v>
      </c>
      <c r="H16" s="68">
        <v>8</v>
      </c>
      <c r="I16" s="68">
        <v>8</v>
      </c>
      <c r="J16" s="68">
        <v>8</v>
      </c>
      <c r="K16" s="70">
        <v>12.978999999999999</v>
      </c>
      <c r="L16" s="70">
        <v>13.018000000000001</v>
      </c>
      <c r="M16" s="71">
        <f t="shared" si="0"/>
        <v>3.0048539949149764E-3</v>
      </c>
      <c r="N16" s="68">
        <v>14</v>
      </c>
      <c r="O16" s="68">
        <v>14</v>
      </c>
      <c r="P16" s="68">
        <v>0</v>
      </c>
      <c r="Q16" s="72">
        <v>2464</v>
      </c>
      <c r="R16" s="72">
        <v>0</v>
      </c>
      <c r="S16" s="72">
        <v>0</v>
      </c>
      <c r="T16" s="72">
        <v>0</v>
      </c>
      <c r="U16" s="72">
        <v>0</v>
      </c>
      <c r="V16" s="73">
        <f>SUM(Q16:U16)*'İşçilik Parametreleri'!$B$28/1000</f>
        <v>2.464</v>
      </c>
      <c r="W16" s="70">
        <f>SUMIF('Büküm Parçaları'!$A$2:$A$213,A16,'Büküm Parçaları'!$I$2:$I$213)</f>
        <v>26.22</v>
      </c>
      <c r="X16" s="70">
        <f>(I16*'İşçilik Parametreleri'!$B$18+IF(L16&gt;'İşçilik Parametreleri'!$B$21,'İşçilik Parametreleri'!$B$20,'İşçilik Parametreleri'!$B$19)+N16*'İşçilik Parametreleri'!$B$22)*'İşçilik Parametreleri'!$B$23</f>
        <v>31.662499999999998</v>
      </c>
      <c r="Y16" s="70">
        <f>(IF('İşçilik Parametreleri'!$B$27="Resme göre",(Q16*INDEX('İşçilik Parametreleri'!$F$16:$I$20,1,MATCH('İşçilik Parametreleri'!$B$26,{"Manuel","Robot","HTD","Lazer"},0))+R16*INDEX('İşçilik Parametreleri'!$F$16:$I$20,2,MATCH('İşçilik Parametreleri'!$B$26,{"Manuel","Robot","HTD","Lazer"},0))+S16*INDEX('İşçilik Parametreleri'!$F$16:$I$20,3,MATCH('İşçilik Parametreleri'!$B$26,{"Manuel","Robot","HTD","Lazer"},0))+T16*INDEX('İşçilik Parametreleri'!$F$16:$I$20,4,MATCH('İşçilik Parametreleri'!$B$26,{"Manuel","Robot","HTD","Lazer"},0))+U16*INDEX('İşçilik Parametreleri'!$F$16:$I$20,5,MATCH('İşçilik Parametreleri'!$B$26,{"Manuel","Robot","HTD","Lazer"},0))),SUM(Q16:U16)*INDEX('İşçilik Parametreleri'!$F$16:$I$20,MATCH(VALUE('İşçilik Parametreleri'!$B$27),'İşçilik Parametreleri'!$E$16:$E$20,0),MATCH('İşçilik Parametreleri'!$B$26,{"Manuel","Robot","HTD","Lazer"},0)))*'İşçilik Parametreleri'!$B$28/1000+O16*IF(OR('İşçilik Parametreleri'!$B$26="Robot",'İşçilik Parametreleri'!$B$26="HTD"),'İşçilik Parametreleri'!$B$30,'İşçilik Parametreleri'!$B$29))*'İşçilik Parametreleri'!$B$31</f>
        <v>31.248000000000001</v>
      </c>
      <c r="Z16" s="74">
        <f t="shared" si="1"/>
        <v>53.478299999999997</v>
      </c>
      <c r="AA16" s="75" t="s">
        <v>86</v>
      </c>
      <c r="AB16" s="76">
        <v>10000</v>
      </c>
      <c r="AC16" s="77">
        <f>IF(AA16="Kataforez",N(AB16),IF(AA16="Yaş boya",'İşçilik Parametreleri'!$B$6/MAX(1,ROUND(IF(ISNUMBER(AB16),AB16,'İşçilik Parametreleri'!$B$7),0)),0))</f>
        <v>8.0000000000000002E-3</v>
      </c>
      <c r="AD16" s="78">
        <f>W16/100*'İşçilik Parametreleri'!$B$9+X16/100*'İşçilik Parametreleri'!$B$17+Y16/100*'İşçilik Parametreleri'!$B$25</f>
        <v>17.8261</v>
      </c>
      <c r="AE16" s="78">
        <f t="shared" si="2"/>
        <v>17.834099999999999</v>
      </c>
      <c r="AF16" s="75">
        <v>78</v>
      </c>
      <c r="AG16" s="79">
        <f>AD16*AF16+IF(AA16="Kataforez",N(AB16)*AF16,IF(AA16="Yaş boya",ROUNDUP(AF16/MAX(1,ROUND(IF(ISNUMBER(AB16),AB16,'İşçilik Parametreleri'!$B$7),0)),0)*'İşçilik Parametreleri'!$B$6,0))</f>
        <v>1470.4358</v>
      </c>
      <c r="AH16" s="70">
        <f t="shared" si="3"/>
        <v>69.521789999999996</v>
      </c>
    </row>
    <row r="17" spans="1:34" ht="15" customHeight="1" x14ac:dyDescent="0.25">
      <c r="A17" s="82" t="s">
        <v>452</v>
      </c>
      <c r="B17" s="68" t="s">
        <v>439</v>
      </c>
      <c r="C17" s="69" t="s">
        <v>114</v>
      </c>
      <c r="D17" s="68" t="s">
        <v>113</v>
      </c>
      <c r="E17" s="68" t="s">
        <v>442</v>
      </c>
      <c r="F17" s="68">
        <v>2</v>
      </c>
      <c r="G17" s="68">
        <v>4</v>
      </c>
      <c r="H17" s="68">
        <v>8</v>
      </c>
      <c r="I17" s="68">
        <v>8</v>
      </c>
      <c r="J17" s="68">
        <v>8</v>
      </c>
      <c r="K17" s="70">
        <v>12.978999999999999</v>
      </c>
      <c r="L17" s="70">
        <v>13.018000000000001</v>
      </c>
      <c r="M17" s="71">
        <f t="shared" si="0"/>
        <v>3.0048539949149764E-3</v>
      </c>
      <c r="N17" s="68">
        <v>14</v>
      </c>
      <c r="O17" s="68">
        <v>14</v>
      </c>
      <c r="P17" s="68">
        <v>0</v>
      </c>
      <c r="Q17" s="72">
        <v>2464</v>
      </c>
      <c r="R17" s="72">
        <v>0</v>
      </c>
      <c r="S17" s="72">
        <v>0</v>
      </c>
      <c r="T17" s="72">
        <v>0</v>
      </c>
      <c r="U17" s="72">
        <v>0</v>
      </c>
      <c r="V17" s="73">
        <f>SUM(Q17:U17)*'İşçilik Parametreleri'!$B$28/1000</f>
        <v>2.464</v>
      </c>
      <c r="W17" s="70">
        <f>SUMIF('Büküm Parçaları'!$A$2:$A$213,A17,'Büküm Parçaları'!$I$2:$I$213)</f>
        <v>26.22</v>
      </c>
      <c r="X17" s="70">
        <f>(I17*'İşçilik Parametreleri'!$B$18+IF(L17&gt;'İşçilik Parametreleri'!$B$21,'İşçilik Parametreleri'!$B$20,'İşçilik Parametreleri'!$B$19)+N17*'İşçilik Parametreleri'!$B$22)*'İşçilik Parametreleri'!$B$23</f>
        <v>31.662499999999998</v>
      </c>
      <c r="Y17" s="70">
        <f>(IF('İşçilik Parametreleri'!$B$27="Resme göre",(Q17*INDEX('İşçilik Parametreleri'!$F$16:$I$20,1,MATCH('İşçilik Parametreleri'!$B$26,{"Manuel","Robot","HTD","Lazer"},0))+R17*INDEX('İşçilik Parametreleri'!$F$16:$I$20,2,MATCH('İşçilik Parametreleri'!$B$26,{"Manuel","Robot","HTD","Lazer"},0))+S17*INDEX('İşçilik Parametreleri'!$F$16:$I$20,3,MATCH('İşçilik Parametreleri'!$B$26,{"Manuel","Robot","HTD","Lazer"},0))+T17*INDEX('İşçilik Parametreleri'!$F$16:$I$20,4,MATCH('İşçilik Parametreleri'!$B$26,{"Manuel","Robot","HTD","Lazer"},0))+U17*INDEX('İşçilik Parametreleri'!$F$16:$I$20,5,MATCH('İşçilik Parametreleri'!$B$26,{"Manuel","Robot","HTD","Lazer"},0))),SUM(Q17:U17)*INDEX('İşçilik Parametreleri'!$F$16:$I$20,MATCH(VALUE('İşçilik Parametreleri'!$B$27),'İşçilik Parametreleri'!$E$16:$E$20,0),MATCH('İşçilik Parametreleri'!$B$26,{"Manuel","Robot","HTD","Lazer"},0)))*'İşçilik Parametreleri'!$B$28/1000+O17*IF(OR('İşçilik Parametreleri'!$B$26="Robot",'İşçilik Parametreleri'!$B$26="HTD"),'İşçilik Parametreleri'!$B$30,'İşçilik Parametreleri'!$B$29))*'İşçilik Parametreleri'!$B$31</f>
        <v>31.248000000000001</v>
      </c>
      <c r="Z17" s="74">
        <f t="shared" si="1"/>
        <v>53.478299999999997</v>
      </c>
      <c r="AA17" s="75" t="s">
        <v>86</v>
      </c>
      <c r="AB17" s="76">
        <v>10000</v>
      </c>
      <c r="AC17" s="77">
        <f>IF(AA17="Kataforez",N(AB17),IF(AA17="Yaş boya",'İşçilik Parametreleri'!$B$6/MAX(1,ROUND(IF(ISNUMBER(AB17),AB17,'İşçilik Parametreleri'!$B$7),0)),0))</f>
        <v>8.0000000000000002E-3</v>
      </c>
      <c r="AD17" s="78">
        <f>W17/100*'İşçilik Parametreleri'!$B$9+X17/100*'İşçilik Parametreleri'!$B$17+Y17/100*'İşçilik Parametreleri'!$B$25</f>
        <v>17.8261</v>
      </c>
      <c r="AE17" s="78">
        <f t="shared" si="2"/>
        <v>17.834099999999999</v>
      </c>
      <c r="AF17" s="75">
        <v>78</v>
      </c>
      <c r="AG17" s="79">
        <f>AD17*AF17+IF(AA17="Kataforez",N(AB17)*AF17,IF(AA17="Yaş boya",ROUNDUP(AF17/MAX(1,ROUND(IF(ISNUMBER(AB17),AB17,'İşçilik Parametreleri'!$B$7),0)),0)*'İşçilik Parametreleri'!$B$6,0))</f>
        <v>1470.4358</v>
      </c>
      <c r="AH17" s="70">
        <f t="shared" si="3"/>
        <v>69.521789999999996</v>
      </c>
    </row>
    <row r="18" spans="1:34" ht="15" customHeight="1" x14ac:dyDescent="0.25">
      <c r="A18" s="67" t="s">
        <v>453</v>
      </c>
      <c r="B18" s="68" t="s">
        <v>439</v>
      </c>
      <c r="C18" s="69" t="s">
        <v>115</v>
      </c>
      <c r="D18" s="68" t="s">
        <v>105</v>
      </c>
      <c r="E18" s="68" t="s">
        <v>94</v>
      </c>
      <c r="F18" s="68">
        <v>1</v>
      </c>
      <c r="G18" s="68">
        <v>4</v>
      </c>
      <c r="H18" s="68">
        <v>6</v>
      </c>
      <c r="I18" s="68">
        <v>6</v>
      </c>
      <c r="J18" s="68">
        <v>6</v>
      </c>
      <c r="K18" s="70">
        <v>18.628</v>
      </c>
      <c r="L18" s="70">
        <v>18.62</v>
      </c>
      <c r="M18" s="71">
        <f t="shared" si="0"/>
        <v>-4.2946102641180581E-4</v>
      </c>
      <c r="N18" s="68">
        <v>8</v>
      </c>
      <c r="O18" s="68">
        <v>8</v>
      </c>
      <c r="P18" s="68">
        <v>0</v>
      </c>
      <c r="Q18" s="72">
        <v>120</v>
      </c>
      <c r="R18" s="72">
        <v>640</v>
      </c>
      <c r="S18" s="72">
        <v>0</v>
      </c>
      <c r="T18" s="72">
        <v>0</v>
      </c>
      <c r="U18" s="72">
        <v>0</v>
      </c>
      <c r="V18" s="73">
        <f>SUM(Q18:U18)*'İşçilik Parametreleri'!$B$28/1000</f>
        <v>0.76</v>
      </c>
      <c r="W18" s="70">
        <f>SUMIF('Büküm Parçaları'!$A$2:$A$213,A18,'Büküm Parçaları'!$I$2:$I$213)</f>
        <v>34.557500000000005</v>
      </c>
      <c r="X18" s="70">
        <f>(I18*'İşçilik Parametreleri'!$B$18+IF(L18&gt;'İşçilik Parametreleri'!$B$21,'İşçilik Parametreleri'!$B$20,'İşçilik Parametreleri'!$B$19)+N18*'İşçilik Parametreleri'!$B$22)*'İşçilik Parametreleri'!$B$23</f>
        <v>21.662499999999998</v>
      </c>
      <c r="Y18" s="70">
        <f>(IF('İşçilik Parametreleri'!$B$27="Resme göre",(Q18*INDEX('İşçilik Parametreleri'!$F$16:$I$20,1,MATCH('İşçilik Parametreleri'!$B$26,{"Manuel","Robot","HTD","Lazer"},0))+R18*INDEX('İşçilik Parametreleri'!$F$16:$I$20,2,MATCH('İşçilik Parametreleri'!$B$26,{"Manuel","Robot","HTD","Lazer"},0))+S18*INDEX('İşçilik Parametreleri'!$F$16:$I$20,3,MATCH('İşçilik Parametreleri'!$B$26,{"Manuel","Robot","HTD","Lazer"},0))+T18*INDEX('İşçilik Parametreleri'!$F$16:$I$20,4,MATCH('İşçilik Parametreleri'!$B$26,{"Manuel","Robot","HTD","Lazer"},0))+U18*INDEX('İşçilik Parametreleri'!$F$16:$I$20,5,MATCH('İşçilik Parametreleri'!$B$26,{"Manuel","Robot","HTD","Lazer"},0))),SUM(Q18:U18)*INDEX('İşçilik Parametreleri'!$F$16:$I$20,MATCH(VALUE('İşçilik Parametreleri'!$B$27),'İşçilik Parametreleri'!$E$16:$E$20,0),MATCH('İşçilik Parametreleri'!$B$26,{"Manuel","Robot","HTD","Lazer"},0)))*'İşçilik Parametreleri'!$B$28/1000+O18*IF(OR('İşçilik Parametreleri'!$B$26="Robot",'İşçilik Parametreleri'!$B$26="HTD"),'İşçilik Parametreleri'!$B$30,'İşçilik Parametreleri'!$B$29))*'İşçilik Parametreleri'!$B$31</f>
        <v>15.879999999999999</v>
      </c>
      <c r="Z18" s="74">
        <f t="shared" si="1"/>
        <v>43.26</v>
      </c>
      <c r="AA18" s="75" t="s">
        <v>94</v>
      </c>
      <c r="AB18" s="76"/>
      <c r="AC18" s="77">
        <f>IF(AA18="Kataforez",N(AB18),IF(AA18="Yaş boya",'İşçilik Parametreleri'!$B$6/MAX(1,ROUND(IF(ISNUMBER(AB18),AB18,'İşçilik Parametreleri'!$B$7),0)),0))</f>
        <v>0</v>
      </c>
      <c r="AD18" s="78">
        <f>W18/100*'İşçilik Parametreleri'!$B$9+X18/100*'İşçilik Parametreleri'!$B$17+Y18/100*'İşçilik Parametreleri'!$B$25</f>
        <v>14.42</v>
      </c>
      <c r="AE18" s="78">
        <f t="shared" si="2"/>
        <v>14.42</v>
      </c>
      <c r="AF18" s="75">
        <v>106</v>
      </c>
      <c r="AG18" s="79">
        <f>AD18*AF18+IF(AA18="Kataforez",N(AB18)*AF18,IF(AA18="Yaş boya",ROUNDUP(AF18/MAX(1,ROUND(IF(ISNUMBER(AB18),AB18,'İşçilik Parametreleri'!$B$7),0)),0)*'İşçilik Parametreleri'!$B$6,0))</f>
        <v>1528.52</v>
      </c>
      <c r="AH18" s="70">
        <f t="shared" si="3"/>
        <v>76.425999999999988</v>
      </c>
    </row>
    <row r="19" spans="1:34" ht="15" customHeight="1" x14ac:dyDescent="0.25">
      <c r="A19" s="67" t="s">
        <v>454</v>
      </c>
      <c r="B19" s="68" t="s">
        <v>439</v>
      </c>
      <c r="C19" s="69" t="s">
        <v>116</v>
      </c>
      <c r="D19" s="68" t="s">
        <v>117</v>
      </c>
      <c r="E19" s="68" t="s">
        <v>442</v>
      </c>
      <c r="F19" s="68">
        <v>2</v>
      </c>
      <c r="G19" s="68">
        <v>5</v>
      </c>
      <c r="H19" s="68">
        <v>7</v>
      </c>
      <c r="I19" s="68">
        <v>7</v>
      </c>
      <c r="J19" s="68">
        <v>4</v>
      </c>
      <c r="K19" s="70">
        <v>39.219000000000001</v>
      </c>
      <c r="L19" s="70">
        <v>38.878</v>
      </c>
      <c r="M19" s="71">
        <f t="shared" si="0"/>
        <v>-8.6947652923328247E-3</v>
      </c>
      <c r="N19" s="68">
        <v>4</v>
      </c>
      <c r="O19" s="68">
        <v>4</v>
      </c>
      <c r="P19" s="68">
        <v>0</v>
      </c>
      <c r="Q19" s="72">
        <v>0</v>
      </c>
      <c r="R19" s="72">
        <v>0</v>
      </c>
      <c r="S19" s="72">
        <v>1796</v>
      </c>
      <c r="T19" s="72">
        <v>0</v>
      </c>
      <c r="U19" s="72">
        <v>0</v>
      </c>
      <c r="V19" s="73">
        <f>SUM(Q19:U19)*'İşçilik Parametreleri'!$B$28/1000</f>
        <v>1.796</v>
      </c>
      <c r="W19" s="70">
        <f>SUMIF('Büküm Parçaları'!$A$2:$A$213,A19,'Büküm Parçaları'!$I$2:$I$213)</f>
        <v>23.747500000000002</v>
      </c>
      <c r="X19" s="70">
        <f>(I19*'İşçilik Parametreleri'!$B$18+IF(L19&gt;'İşçilik Parametreleri'!$B$21,'İşçilik Parametreleri'!$B$20,'İşçilik Parametreleri'!$B$19)+N19*'İşçilik Parametreleri'!$B$22)*'İşçilik Parametreleri'!$B$23</f>
        <v>22.5</v>
      </c>
      <c r="Y19" s="70">
        <f>(IF('İşçilik Parametreleri'!$B$27="Resme göre",(Q19*INDEX('İşçilik Parametreleri'!$F$16:$I$20,1,MATCH('İşçilik Parametreleri'!$B$26,{"Manuel","Robot","HTD","Lazer"},0))+R19*INDEX('İşçilik Parametreleri'!$F$16:$I$20,2,MATCH('İşçilik Parametreleri'!$B$26,{"Manuel","Robot","HTD","Lazer"},0))+S19*INDEX('İşçilik Parametreleri'!$F$16:$I$20,3,MATCH('İşçilik Parametreleri'!$B$26,{"Manuel","Robot","HTD","Lazer"},0))+T19*INDEX('İşçilik Parametreleri'!$F$16:$I$20,4,MATCH('İşçilik Parametreleri'!$B$26,{"Manuel","Robot","HTD","Lazer"},0))+U19*INDEX('İşçilik Parametreleri'!$F$16:$I$20,5,MATCH('İşçilik Parametreleri'!$B$26,{"Manuel","Robot","HTD","Lazer"},0))),SUM(Q19:U19)*INDEX('İşçilik Parametreleri'!$F$16:$I$20,MATCH(VALUE('İşçilik Parametreleri'!$B$27),'İşçilik Parametreleri'!$E$16:$E$20,0),MATCH('İşçilik Parametreleri'!$B$26,{"Manuel","Robot","HTD","Lazer"},0)))*'İşçilik Parametreleri'!$B$28/1000+O19*IF(OR('İşçilik Parametreleri'!$B$26="Robot",'İşçilik Parametreleri'!$B$26="HTD"),'İşçilik Parametreleri'!$B$30,'İşçilik Parametreleri'!$B$29))*'İşçilik Parametreleri'!$B$31</f>
        <v>36.328000000000003</v>
      </c>
      <c r="Z19" s="74">
        <f t="shared" si="1"/>
        <v>49.545300000000005</v>
      </c>
      <c r="AA19" s="75" t="s">
        <v>86</v>
      </c>
      <c r="AB19" s="76">
        <v>10000</v>
      </c>
      <c r="AC19" s="77">
        <f>IF(AA19="Kataforez",N(AB19),IF(AA19="Yaş boya",'İşçilik Parametreleri'!$B$6/MAX(1,ROUND(IF(ISNUMBER(AB19),AB19,'İşçilik Parametreleri'!$B$7),0)),0))</f>
        <v>8.0000000000000002E-3</v>
      </c>
      <c r="AD19" s="78">
        <f>W19/100*'İşçilik Parametreleri'!$B$9+X19/100*'İşçilik Parametreleri'!$B$17+Y19/100*'İşçilik Parametreleri'!$B$25</f>
        <v>16.515100000000004</v>
      </c>
      <c r="AE19" s="78">
        <f t="shared" si="2"/>
        <v>16.523100000000003</v>
      </c>
      <c r="AF19" s="75">
        <v>78</v>
      </c>
      <c r="AG19" s="79">
        <f>AD19*AF19+IF(AA19="Kataforez",N(AB19)*AF19,IF(AA19="Yaş boya",ROUNDUP(AF19/MAX(1,ROUND(IF(ISNUMBER(AB19),AB19,'İşçilik Parametreleri'!$B$7),0)),0)*'İşçilik Parametreleri'!$B$6,0))</f>
        <v>1368.1778000000004</v>
      </c>
      <c r="AH19" s="70">
        <f t="shared" si="3"/>
        <v>64.40889</v>
      </c>
    </row>
    <row r="20" spans="1:34" ht="15" customHeight="1" x14ac:dyDescent="0.25">
      <c r="A20" s="82" t="s">
        <v>455</v>
      </c>
      <c r="B20" s="80" t="s">
        <v>23</v>
      </c>
      <c r="C20" s="81" t="s">
        <v>118</v>
      </c>
      <c r="D20" s="68" t="s">
        <v>119</v>
      </c>
      <c r="E20" s="68" t="s">
        <v>456</v>
      </c>
      <c r="F20" s="68">
        <v>1</v>
      </c>
      <c r="G20" s="68">
        <v>2</v>
      </c>
      <c r="H20" s="68">
        <v>2</v>
      </c>
      <c r="I20" s="68">
        <v>2</v>
      </c>
      <c r="J20" s="68">
        <v>2</v>
      </c>
      <c r="K20" s="70">
        <v>0.38800000000000001</v>
      </c>
      <c r="L20" s="70">
        <v>0.38700000000000001</v>
      </c>
      <c r="M20" s="71">
        <f t="shared" si="0"/>
        <v>-2.5773195876288681E-3</v>
      </c>
      <c r="N20" s="68">
        <v>2</v>
      </c>
      <c r="O20" s="68">
        <v>2</v>
      </c>
      <c r="P20" s="68">
        <v>0</v>
      </c>
      <c r="Q20" s="72">
        <v>110</v>
      </c>
      <c r="R20" s="72">
        <v>0</v>
      </c>
      <c r="S20" s="72">
        <v>0</v>
      </c>
      <c r="T20" s="72">
        <v>0</v>
      </c>
      <c r="U20" s="72">
        <v>0</v>
      </c>
      <c r="V20" s="73">
        <f>SUM(Q20:U20)*'İşçilik Parametreleri'!$B$28/1000</f>
        <v>0.11</v>
      </c>
      <c r="W20" s="70">
        <f>SUMIF('Büküm Parçaları'!$A$2:$A$213,A20,'Büküm Parçaları'!$I$2:$I$213)</f>
        <v>6.5549999999999997</v>
      </c>
      <c r="X20" s="70">
        <f>(I20*'İşçilik Parametreleri'!$B$18+IF(L20&gt;'İşçilik Parametreleri'!$B$21,'İşçilik Parametreleri'!$B$20,'İşçilik Parametreleri'!$B$19)+N20*'İşçilik Parametreleri'!$B$22)*'İşçilik Parametreleri'!$B$23</f>
        <v>9.1624999999999996</v>
      </c>
      <c r="Y20" s="70">
        <f>(IF('İşçilik Parametreleri'!$B$27="Resme göre",(Q20*INDEX('İşçilik Parametreleri'!$F$16:$I$20,1,MATCH('İşçilik Parametreleri'!$B$26,{"Manuel","Robot","HTD","Lazer"},0))+R20*INDEX('İşçilik Parametreleri'!$F$16:$I$20,2,MATCH('İşçilik Parametreleri'!$B$26,{"Manuel","Robot","HTD","Lazer"},0))+S20*INDEX('İşçilik Parametreleri'!$F$16:$I$20,3,MATCH('İşçilik Parametreleri'!$B$26,{"Manuel","Robot","HTD","Lazer"},0))+T20*INDEX('İşçilik Parametreleri'!$F$16:$I$20,4,MATCH('İşçilik Parametreleri'!$B$26,{"Manuel","Robot","HTD","Lazer"},0))+U20*INDEX('İşçilik Parametreleri'!$F$16:$I$20,5,MATCH('İşçilik Parametreleri'!$B$26,{"Manuel","Robot","HTD","Lazer"},0))),SUM(Q20:U20)*INDEX('İşçilik Parametreleri'!$F$16:$I$20,MATCH(VALUE('İşçilik Parametreleri'!$B$27),'İşçilik Parametreleri'!$E$16:$E$20,0),MATCH('İşçilik Parametreleri'!$B$26,{"Manuel","Robot","HTD","Lazer"},0)))*'İşçilik Parametreleri'!$B$28/1000+O20*IF(OR('İşçilik Parametreleri'!$B$26="Robot",'İşçilik Parametreleri'!$B$26="HTD"),'İşçilik Parametreleri'!$B$30,'İşçilik Parametreleri'!$B$29))*'İşçilik Parametreleri'!$B$31</f>
        <v>2.77</v>
      </c>
      <c r="Z20" s="74">
        <f t="shared" si="1"/>
        <v>11.092499999999999</v>
      </c>
      <c r="AA20" s="75" t="s">
        <v>94</v>
      </c>
      <c r="AB20" s="76"/>
      <c r="AC20" s="77">
        <f>IF(AA20="Kataforez",N(AB20),IF(AA20="Yaş boya",'İşçilik Parametreleri'!$B$6/MAX(1,ROUND(IF(ISNUMBER(AB20),AB20,'İşçilik Parametreleri'!$B$7),0)),0))</f>
        <v>0</v>
      </c>
      <c r="AD20" s="78">
        <f>W20/100*'İşçilik Parametreleri'!$B$9+X20/100*'İşçilik Parametreleri'!$B$17+Y20/100*'İşçilik Parametreleri'!$B$25</f>
        <v>3.6974999999999998</v>
      </c>
      <c r="AE20" s="78">
        <f t="shared" si="2"/>
        <v>3.6974999999999998</v>
      </c>
      <c r="AF20" s="75">
        <v>360</v>
      </c>
      <c r="AG20" s="79">
        <f>AD20*AF20+IF(AA20="Kataforez",N(AB20)*AF20,IF(AA20="Yaş boya",ROUNDUP(AF20/MAX(1,ROUND(IF(ISNUMBER(AB20),AB20,'İşçilik Parametreleri'!$B$7),0)),0)*'İşçilik Parametreleri'!$B$6,0))</f>
        <v>1331.1</v>
      </c>
      <c r="AH20" s="70">
        <f t="shared" si="3"/>
        <v>66.555000000000007</v>
      </c>
    </row>
    <row r="21" spans="1:34" ht="15" customHeight="1" x14ac:dyDescent="0.25">
      <c r="A21" s="82" t="s">
        <v>457</v>
      </c>
      <c r="B21" s="83" t="s">
        <v>23</v>
      </c>
      <c r="C21" s="81" t="s">
        <v>121</v>
      </c>
      <c r="D21" s="68" t="s">
        <v>93</v>
      </c>
      <c r="E21" s="68" t="s">
        <v>447</v>
      </c>
      <c r="F21" s="68">
        <v>1</v>
      </c>
      <c r="G21" s="68">
        <v>2</v>
      </c>
      <c r="H21" s="68">
        <v>7</v>
      </c>
      <c r="I21" s="68">
        <v>7</v>
      </c>
      <c r="J21" s="68">
        <v>0</v>
      </c>
      <c r="K21" s="70">
        <v>6.141</v>
      </c>
      <c r="L21" s="70">
        <v>6.0730000000000004</v>
      </c>
      <c r="M21" s="71">
        <f t="shared" si="0"/>
        <v>-1.1073115127829282E-2</v>
      </c>
      <c r="N21" s="68">
        <v>8</v>
      </c>
      <c r="O21" s="68">
        <v>8</v>
      </c>
      <c r="P21" s="68">
        <v>0</v>
      </c>
      <c r="Q21" s="72">
        <v>848</v>
      </c>
      <c r="R21" s="72">
        <v>0</v>
      </c>
      <c r="S21" s="72">
        <v>0</v>
      </c>
      <c r="T21" s="72">
        <v>0</v>
      </c>
      <c r="U21" s="72">
        <v>0</v>
      </c>
      <c r="V21" s="73">
        <f>SUM(Q21:U21)*'İşçilik Parametreleri'!$B$28/1000</f>
        <v>0.84799999999999998</v>
      </c>
      <c r="W21" s="70">
        <f>SUMIF('Büküm Parçaları'!$A$2:$A$213,A21,'Büküm Parçaları'!$I$2:$I$213)</f>
        <v>0</v>
      </c>
      <c r="X21" s="70">
        <f>(I21*'İşçilik Parametreleri'!$B$18+IF(L21&gt;'İşçilik Parametreleri'!$B$21,'İşçilik Parametreleri'!$B$20,'İşçilik Parametreleri'!$B$19)+N21*'İşçilik Parametreleri'!$B$22)*'İşçilik Parametreleri'!$B$23</f>
        <v>22.912499999999998</v>
      </c>
      <c r="Y21" s="70">
        <f>(IF('İşçilik Parametreleri'!$B$27="Resme göre",(Q21*INDEX('İşçilik Parametreleri'!$F$16:$I$20,1,MATCH('İşçilik Parametreleri'!$B$26,{"Manuel","Robot","HTD","Lazer"},0))+R21*INDEX('İşçilik Parametreleri'!$F$16:$I$20,2,MATCH('İşçilik Parametreleri'!$B$26,{"Manuel","Robot","HTD","Lazer"},0))+S21*INDEX('İşçilik Parametreleri'!$F$16:$I$20,3,MATCH('İşçilik Parametreleri'!$B$26,{"Manuel","Robot","HTD","Lazer"},0))+T21*INDEX('İşçilik Parametreleri'!$F$16:$I$20,4,MATCH('İşçilik Parametreleri'!$B$26,{"Manuel","Robot","HTD","Lazer"},0))+U21*INDEX('İşçilik Parametreleri'!$F$16:$I$20,5,MATCH('İşçilik Parametreleri'!$B$26,{"Manuel","Robot","HTD","Lazer"},0))),SUM(Q21:U21)*INDEX('İşçilik Parametreleri'!$F$16:$I$20,MATCH(VALUE('İşçilik Parametreleri'!$B$27),'İşçilik Parametreleri'!$E$16:$E$20,0),MATCH('İşçilik Parametreleri'!$B$26,{"Manuel","Robot","HTD","Lazer"},0)))*'İşçilik Parametreleri'!$B$28/1000+O21*IF(OR('İşçilik Parametreleri'!$B$26="Robot",'İşçilik Parametreleri'!$B$26="HTD"),'İşçilik Parametreleri'!$B$30,'İşçilik Parametreleri'!$B$29))*'İşçilik Parametreleri'!$B$31</f>
        <v>13.936</v>
      </c>
      <c r="Z21" s="74">
        <f t="shared" si="1"/>
        <v>22.109100000000002</v>
      </c>
      <c r="AA21" s="75" t="s">
        <v>86</v>
      </c>
      <c r="AB21" s="76">
        <v>10000</v>
      </c>
      <c r="AC21" s="77">
        <f>IF(AA21="Kataforez",N(AB21),IF(AA21="Yaş boya",'İşçilik Parametreleri'!$B$6/MAX(1,ROUND(IF(ISNUMBER(AB21),AB21,'İşçilik Parametreleri'!$B$7),0)),0))</f>
        <v>8.0000000000000002E-3</v>
      </c>
      <c r="AD21" s="78">
        <f>W21/100*'İşçilik Parametreleri'!$B$9+X21/100*'İşçilik Parametreleri'!$B$17+Y21/100*'İşçilik Parametreleri'!$B$25</f>
        <v>7.3696999999999999</v>
      </c>
      <c r="AE21" s="78">
        <f t="shared" si="2"/>
        <v>7.3776999999999999</v>
      </c>
      <c r="AF21" s="75">
        <v>142</v>
      </c>
      <c r="AG21" s="79">
        <f>AD21*AF21+IF(AA21="Kataforez",N(AB21)*AF21,IF(AA21="Yaş boya",ROUNDUP(AF21/MAX(1,ROUND(IF(ISNUMBER(AB21),AB21,'İşçilik Parametreleri'!$B$7),0)),0)*'İşçilik Parametreleri'!$B$6,0))</f>
        <v>1126.4974</v>
      </c>
      <c r="AH21" s="70">
        <f t="shared" si="3"/>
        <v>52.324870000000004</v>
      </c>
    </row>
    <row r="22" spans="1:34" ht="15" customHeight="1" x14ac:dyDescent="0.25">
      <c r="A22" s="82" t="s">
        <v>458</v>
      </c>
      <c r="B22" s="83" t="s">
        <v>23</v>
      </c>
      <c r="C22" s="81" t="s">
        <v>123</v>
      </c>
      <c r="D22" s="68" t="s">
        <v>119</v>
      </c>
      <c r="E22" s="68" t="s">
        <v>130</v>
      </c>
      <c r="F22" s="68">
        <v>1</v>
      </c>
      <c r="G22" s="68">
        <v>3</v>
      </c>
      <c r="H22" s="68">
        <v>3</v>
      </c>
      <c r="I22" s="68">
        <v>2</v>
      </c>
      <c r="J22" s="68">
        <v>0</v>
      </c>
      <c r="K22" s="70">
        <v>3.669</v>
      </c>
      <c r="L22" s="70">
        <v>3.6819999999999999</v>
      </c>
      <c r="M22" s="71">
        <f t="shared" si="0"/>
        <v>3.5431997819569093E-3</v>
      </c>
      <c r="N22" s="68">
        <v>4</v>
      </c>
      <c r="O22" s="68">
        <v>4</v>
      </c>
      <c r="P22" s="68">
        <v>0</v>
      </c>
      <c r="Q22" s="72">
        <v>180</v>
      </c>
      <c r="R22" s="72">
        <v>0</v>
      </c>
      <c r="S22" s="72">
        <v>0</v>
      </c>
      <c r="T22" s="72">
        <v>0</v>
      </c>
      <c r="U22" s="72">
        <v>0</v>
      </c>
      <c r="V22" s="73">
        <f>SUM(Q22:U22)*'İşçilik Parametreleri'!$B$28/1000</f>
        <v>0.18</v>
      </c>
      <c r="W22" s="70">
        <f>SUMIF('Büküm Parçaları'!$A$2:$A$213,A22,'Büküm Parçaları'!$I$2:$I$213)</f>
        <v>0</v>
      </c>
      <c r="X22" s="70">
        <f>(I22*'İşçilik Parametreleri'!$B$18+IF(L22&gt;'İşçilik Parametreleri'!$B$21,'İşçilik Parametreleri'!$B$20,'İşçilik Parametreleri'!$B$19)+N22*'İşçilik Parametreleri'!$B$22)*'İşçilik Parametreleri'!$B$23</f>
        <v>11.6625</v>
      </c>
      <c r="Y22" s="70">
        <f>(IF('İşçilik Parametreleri'!$B$27="Resme göre",(Q22*INDEX('İşçilik Parametreleri'!$F$16:$I$20,1,MATCH('İşçilik Parametreleri'!$B$26,{"Manuel","Robot","HTD","Lazer"},0))+R22*INDEX('İşçilik Parametreleri'!$F$16:$I$20,2,MATCH('İşçilik Parametreleri'!$B$26,{"Manuel","Robot","HTD","Lazer"},0))+S22*INDEX('İşçilik Parametreleri'!$F$16:$I$20,3,MATCH('İşçilik Parametreleri'!$B$26,{"Manuel","Robot","HTD","Lazer"},0))+T22*INDEX('İşçilik Parametreleri'!$F$16:$I$20,4,MATCH('İşçilik Parametreleri'!$B$26,{"Manuel","Robot","HTD","Lazer"},0))+U22*INDEX('İşçilik Parametreleri'!$F$16:$I$20,5,MATCH('İşçilik Parametreleri'!$B$26,{"Manuel","Robot","HTD","Lazer"},0))),SUM(Q22:U22)*INDEX('İşçilik Parametreleri'!$F$16:$I$20,MATCH(VALUE('İşçilik Parametreleri'!$B$27),'İşçilik Parametreleri'!$E$16:$E$20,0),MATCH('İşçilik Parametreleri'!$B$26,{"Manuel","Robot","HTD","Lazer"},0)))*'İşçilik Parametreleri'!$B$28/1000+O22*IF(OR('İşçilik Parametreleri'!$B$26="Robot",'İşçilik Parametreleri'!$B$26="HTD"),'İşçilik Parametreleri'!$B$30,'İşçilik Parametreleri'!$B$29))*'İşçilik Parametreleri'!$B$31</f>
        <v>5.26</v>
      </c>
      <c r="Z22" s="74">
        <f t="shared" si="1"/>
        <v>10.153499999999999</v>
      </c>
      <c r="AA22" s="75" t="s">
        <v>124</v>
      </c>
      <c r="AB22" s="76"/>
      <c r="AC22" s="77">
        <f>IF(AA22="Kataforez",N(AB22),IF(AA22="Yaş boya",'İşçilik Parametreleri'!$B$6/MAX(1,ROUND(IF(ISNUMBER(AB22),AB22,'İşçilik Parametreleri'!$B$7),0)),0))</f>
        <v>0</v>
      </c>
      <c r="AD22" s="78">
        <f>W22/100*'İşçilik Parametreleri'!$B$9+X22/100*'İşçilik Parametreleri'!$B$17+Y22/100*'İşçilik Parametreleri'!$B$25</f>
        <v>3.3845000000000001</v>
      </c>
      <c r="AE22" s="78">
        <f t="shared" si="2"/>
        <v>3.3845000000000001</v>
      </c>
      <c r="AF22" s="75">
        <v>312</v>
      </c>
      <c r="AG22" s="79">
        <f>AD22*AF22+IF(AA22="Kataforez",N(AB22)*AF22,IF(AA22="Yaş boya",ROUNDUP(AF22/MAX(1,ROUND(IF(ISNUMBER(AB22),AB22,'İşçilik Parametreleri'!$B$7),0)),0)*'İşçilik Parametreleri'!$B$6,0))</f>
        <v>1055.9639999999999</v>
      </c>
      <c r="AH22" s="70">
        <f t="shared" si="3"/>
        <v>52.798199999999994</v>
      </c>
    </row>
    <row r="23" spans="1:34" ht="15" customHeight="1" x14ac:dyDescent="0.25">
      <c r="A23" s="67" t="s">
        <v>126</v>
      </c>
      <c r="B23" s="68" t="s">
        <v>439</v>
      </c>
      <c r="C23" s="69" t="s">
        <v>127</v>
      </c>
      <c r="D23" s="68" t="s">
        <v>119</v>
      </c>
      <c r="E23" s="68" t="s">
        <v>130</v>
      </c>
      <c r="F23" s="68">
        <v>1</v>
      </c>
      <c r="G23" s="68">
        <v>5</v>
      </c>
      <c r="H23" s="68">
        <v>8</v>
      </c>
      <c r="I23" s="68">
        <v>8</v>
      </c>
      <c r="J23" s="68">
        <v>14</v>
      </c>
      <c r="K23" s="70">
        <v>55.404000000000003</v>
      </c>
      <c r="L23" s="70">
        <v>55.572000000000003</v>
      </c>
      <c r="M23" s="71">
        <f t="shared" si="0"/>
        <v>3.032272038119978E-3</v>
      </c>
      <c r="N23" s="68">
        <v>16</v>
      </c>
      <c r="O23" s="68">
        <v>16</v>
      </c>
      <c r="P23" s="68">
        <v>0</v>
      </c>
      <c r="Q23" s="72">
        <v>10940</v>
      </c>
      <c r="R23" s="72">
        <v>0</v>
      </c>
      <c r="S23" s="72">
        <v>0</v>
      </c>
      <c r="T23" s="72">
        <v>0</v>
      </c>
      <c r="U23" s="72">
        <v>0</v>
      </c>
      <c r="V23" s="73">
        <f>SUM(Q23:U23)*'İşçilik Parametreleri'!$B$28/1000</f>
        <v>10.94</v>
      </c>
      <c r="W23" s="70">
        <f>SUMIF('Büküm Parçaları'!$A$2:$A$213,A23,'Büküm Parçaları'!$I$2:$I$213)</f>
        <v>54.394999999999996</v>
      </c>
      <c r="X23" s="70">
        <f>(I23*'İşçilik Parametreleri'!$B$18+IF(L23&gt;'İşçilik Parametreleri'!$B$21,'İşçilik Parametreleri'!$B$20,'İşçilik Parametreleri'!$B$19)+N23*'İşçilik Parametreleri'!$B$22)*'İşçilik Parametreleri'!$B$23</f>
        <v>38.75</v>
      </c>
      <c r="Y23" s="70">
        <f>(IF('İşçilik Parametreleri'!$B$27="Resme göre",(Q23*INDEX('İşçilik Parametreleri'!$F$16:$I$20,1,MATCH('İşçilik Parametreleri'!$B$26,{"Manuel","Robot","HTD","Lazer"},0))+R23*INDEX('İşçilik Parametreleri'!$F$16:$I$20,2,MATCH('İşçilik Parametreleri'!$B$26,{"Manuel","Robot","HTD","Lazer"},0))+S23*INDEX('İşçilik Parametreleri'!$F$16:$I$20,3,MATCH('İşçilik Parametreleri'!$B$26,{"Manuel","Robot","HTD","Lazer"},0))+T23*INDEX('İşçilik Parametreleri'!$F$16:$I$20,4,MATCH('İşçilik Parametreleri'!$B$26,{"Manuel","Robot","HTD","Lazer"},0))+U23*INDEX('İşçilik Parametreleri'!$F$16:$I$20,5,MATCH('İşçilik Parametreleri'!$B$26,{"Manuel","Robot","HTD","Lazer"},0))),SUM(Q23:U23)*INDEX('İşçilik Parametreleri'!$F$16:$I$20,MATCH(VALUE('İşçilik Parametreleri'!$B$27),'İşçilik Parametreleri'!$E$16:$E$20,0),MATCH('İşçilik Parametreleri'!$B$26,{"Manuel","Robot","HTD","Lazer"},0)))*'İşçilik Parametreleri'!$B$28/1000+O23*IF(OR('İşçilik Parametreleri'!$B$26="Robot",'İşçilik Parametreleri'!$B$26="HTD"),'İşçilik Parametreleri'!$B$30,'İşçilik Parametreleri'!$B$29))*'İşçilik Parametreleri'!$B$31</f>
        <v>92.58</v>
      </c>
      <c r="Z23" s="74">
        <f t="shared" si="1"/>
        <v>111.43499999999999</v>
      </c>
      <c r="AA23" s="75" t="s">
        <v>124</v>
      </c>
      <c r="AB23" s="76"/>
      <c r="AC23" s="77">
        <f>IF(AA23="Kataforez",N(AB23),IF(AA23="Yaş boya",'İşçilik Parametreleri'!$B$6/MAX(1,ROUND(IF(ISNUMBER(AB23),AB23,'İşçilik Parametreleri'!$B$7),0)),0))</f>
        <v>0</v>
      </c>
      <c r="AD23" s="78">
        <f>W23/100*'İşçilik Parametreleri'!$B$9+X23/100*'İşçilik Parametreleri'!$B$17+Y23/100*'İşçilik Parametreleri'!$B$25</f>
        <v>37.144999999999996</v>
      </c>
      <c r="AE23" s="78">
        <f t="shared" si="2"/>
        <v>37.144999999999996</v>
      </c>
      <c r="AF23" s="75">
        <v>27</v>
      </c>
      <c r="AG23" s="79">
        <f>AD23*AF23+IF(AA23="Kataforez",N(AB23)*AF23,IF(AA23="Yaş boya",ROUNDUP(AF23/MAX(1,ROUND(IF(ISNUMBER(AB23),AB23,'İşçilik Parametreleri'!$B$7),0)),0)*'İşçilik Parametreleri'!$B$6,0))</f>
        <v>1002.9149999999998</v>
      </c>
      <c r="AH23" s="70">
        <f t="shared" si="3"/>
        <v>50.14575</v>
      </c>
    </row>
    <row r="24" spans="1:34" ht="15" customHeight="1" x14ac:dyDescent="0.25">
      <c r="A24" s="82" t="s">
        <v>459</v>
      </c>
      <c r="B24" s="68" t="s">
        <v>439</v>
      </c>
      <c r="C24" s="69" t="s">
        <v>128</v>
      </c>
      <c r="D24" s="68" t="s">
        <v>110</v>
      </c>
      <c r="E24" s="68" t="s">
        <v>460</v>
      </c>
      <c r="F24" s="68">
        <v>1</v>
      </c>
      <c r="G24" s="68">
        <v>3</v>
      </c>
      <c r="H24" s="68">
        <v>4</v>
      </c>
      <c r="I24" s="68">
        <v>4</v>
      </c>
      <c r="J24" s="68">
        <v>5</v>
      </c>
      <c r="K24" s="70">
        <v>8.3469999999999995</v>
      </c>
      <c r="L24" s="70">
        <v>8.2840000000000007</v>
      </c>
      <c r="M24" s="71">
        <f t="shared" si="0"/>
        <v>-7.5476219000837237E-3</v>
      </c>
      <c r="N24" s="68">
        <v>3</v>
      </c>
      <c r="O24" s="68">
        <v>3</v>
      </c>
      <c r="P24" s="68">
        <v>0</v>
      </c>
      <c r="Q24" s="72">
        <v>808</v>
      </c>
      <c r="R24" s="72">
        <v>0</v>
      </c>
      <c r="S24" s="72">
        <v>0</v>
      </c>
      <c r="T24" s="72">
        <v>0</v>
      </c>
      <c r="U24" s="72">
        <v>0</v>
      </c>
      <c r="V24" s="73">
        <f>SUM(Q24:U24)*'İşçilik Parametreleri'!$B$28/1000</f>
        <v>0.80800000000000005</v>
      </c>
      <c r="W24" s="70">
        <f>SUMIF('Büküm Parçaları'!$A$2:$A$213,A24,'Büküm Parçaları'!$I$2:$I$213)</f>
        <v>28.088750000000005</v>
      </c>
      <c r="X24" s="70">
        <f>(I24*'İşçilik Parametreleri'!$B$18+IF(L24&gt;'İşçilik Parametreleri'!$B$21,'İşçilik Parametreleri'!$B$20,'İşçilik Parametreleri'!$B$19)+N24*'İşçilik Parametreleri'!$B$22)*'İşçilik Parametreleri'!$B$23</f>
        <v>12.9125</v>
      </c>
      <c r="Y24" s="70">
        <f>(IF('İşçilik Parametreleri'!$B$27="Resme göre",(Q24*INDEX('İşçilik Parametreleri'!$F$16:$I$20,1,MATCH('İşçilik Parametreleri'!$B$26,{"Manuel","Robot","HTD","Lazer"},0))+R24*INDEX('İşçilik Parametreleri'!$F$16:$I$20,2,MATCH('İşçilik Parametreleri'!$B$26,{"Manuel","Robot","HTD","Lazer"},0))+S24*INDEX('İşçilik Parametreleri'!$F$16:$I$20,3,MATCH('İşçilik Parametreleri'!$B$26,{"Manuel","Robot","HTD","Lazer"},0))+T24*INDEX('İşçilik Parametreleri'!$F$16:$I$20,4,MATCH('İşçilik Parametreleri'!$B$26,{"Manuel","Robot","HTD","Lazer"},0))+U24*INDEX('İşçilik Parametreleri'!$F$16:$I$20,5,MATCH('İşçilik Parametreleri'!$B$26,{"Manuel","Robot","HTD","Lazer"},0))),SUM(Q24:U24)*INDEX('İşçilik Parametreleri'!$F$16:$I$20,MATCH(VALUE('İşçilik Parametreleri'!$B$27),'İşçilik Parametreleri'!$E$16:$E$20,0),MATCH('İşçilik Parametreleri'!$B$26,{"Manuel","Robot","HTD","Lazer"},0)))*'İşçilik Parametreleri'!$B$28/1000+O24*IF(OR('İşçilik Parametreleri'!$B$26="Robot",'İşçilik Parametreleri'!$B$26="HTD"),'İşçilik Parametreleri'!$B$30,'İşçilik Parametreleri'!$B$29))*'İşçilik Parametreleri'!$B$31</f>
        <v>8.6559999999999988</v>
      </c>
      <c r="Z24" s="74">
        <f t="shared" si="1"/>
        <v>29.794350000000001</v>
      </c>
      <c r="AA24" s="75" t="s">
        <v>86</v>
      </c>
      <c r="AB24" s="76">
        <v>10000</v>
      </c>
      <c r="AC24" s="77">
        <f>IF(AA24="Kataforez",N(AB24),IF(AA24="Yaş boya",'İşçilik Parametreleri'!$B$6/MAX(1,ROUND(IF(ISNUMBER(AB24),AB24,'İşçilik Parametreleri'!$B$7),0)),0))</f>
        <v>8.0000000000000002E-3</v>
      </c>
      <c r="AD24" s="78">
        <f>W24/100*'İşçilik Parametreleri'!$B$9+X24/100*'İşçilik Parametreleri'!$B$17+Y24/100*'İşçilik Parametreleri'!$B$25</f>
        <v>9.9314499999999999</v>
      </c>
      <c r="AE24" s="78">
        <f t="shared" si="2"/>
        <v>9.939449999999999</v>
      </c>
      <c r="AF24" s="75">
        <v>85</v>
      </c>
      <c r="AG24" s="79">
        <f>AD24*AF24+IF(AA24="Kataforez",N(AB24)*AF24,IF(AA24="Yaş boya",ROUNDUP(AF24/MAX(1,ROUND(IF(ISNUMBER(AB24),AB24,'İşçilik Parametreleri'!$B$7),0)),0)*'İşçilik Parametreleri'!$B$6,0))</f>
        <v>924.17324999999994</v>
      </c>
      <c r="AH24" s="70">
        <f t="shared" si="3"/>
        <v>42.208662500000003</v>
      </c>
    </row>
    <row r="25" spans="1:34" ht="15" customHeight="1" x14ac:dyDescent="0.25">
      <c r="A25" s="82" t="s">
        <v>461</v>
      </c>
      <c r="B25" s="80" t="s">
        <v>23</v>
      </c>
      <c r="C25" s="81" t="s">
        <v>129</v>
      </c>
      <c r="D25" s="68" t="s">
        <v>130</v>
      </c>
      <c r="E25" s="68" t="s">
        <v>130</v>
      </c>
      <c r="F25" s="68">
        <v>1</v>
      </c>
      <c r="G25" s="68">
        <v>3</v>
      </c>
      <c r="H25" s="68">
        <v>8</v>
      </c>
      <c r="I25" s="68">
        <v>8</v>
      </c>
      <c r="J25" s="68">
        <v>10</v>
      </c>
      <c r="K25" s="70">
        <v>2.9</v>
      </c>
      <c r="L25" s="70">
        <v>2.93</v>
      </c>
      <c r="M25" s="71">
        <f t="shared" si="0"/>
        <v>1.0344827586206983E-2</v>
      </c>
      <c r="N25" s="68">
        <v>13</v>
      </c>
      <c r="O25" s="68">
        <v>13</v>
      </c>
      <c r="P25" s="68">
        <v>0</v>
      </c>
      <c r="Q25" s="72">
        <v>650</v>
      </c>
      <c r="R25" s="72">
        <v>0</v>
      </c>
      <c r="S25" s="72">
        <v>0</v>
      </c>
      <c r="T25" s="72">
        <v>0</v>
      </c>
      <c r="U25" s="72">
        <v>0</v>
      </c>
      <c r="V25" s="73">
        <f>SUM(Q25:U25)*'İşçilik Parametreleri'!$B$28/1000</f>
        <v>0.65</v>
      </c>
      <c r="W25" s="70">
        <f>SUMIF('Büküm Parçaları'!$A$2:$A$213,A25,'Büküm Parçaları'!$I$2:$I$213)</f>
        <v>41.284999999999989</v>
      </c>
      <c r="X25" s="70">
        <f>(I25*'İşçilik Parametreleri'!$B$18+IF(L25&gt;'İşçilik Parametreleri'!$B$21,'İşçilik Parametreleri'!$B$20,'İşçilik Parametreleri'!$B$19)+N25*'İşçilik Parametreleri'!$B$22)*'İşçilik Parametreleri'!$B$23</f>
        <v>30.412499999999998</v>
      </c>
      <c r="Y25" s="70">
        <f>(IF('İşçilik Parametreleri'!$B$27="Resme göre",(Q25*INDEX('İşçilik Parametreleri'!$F$16:$I$20,1,MATCH('İşçilik Parametreleri'!$B$26,{"Manuel","Robot","HTD","Lazer"},0))+R25*INDEX('İşçilik Parametreleri'!$F$16:$I$20,2,MATCH('İşçilik Parametreleri'!$B$26,{"Manuel","Robot","HTD","Lazer"},0))+S25*INDEX('İşçilik Parametreleri'!$F$16:$I$20,3,MATCH('İşçilik Parametreleri'!$B$26,{"Manuel","Robot","HTD","Lazer"},0))+T25*INDEX('İşçilik Parametreleri'!$F$16:$I$20,4,MATCH('İşçilik Parametreleri'!$B$26,{"Manuel","Robot","HTD","Lazer"},0))+U25*INDEX('İşçilik Parametreleri'!$F$16:$I$20,5,MATCH('İşçilik Parametreleri'!$B$26,{"Manuel","Robot","HTD","Lazer"},0))),SUM(Q25:U25)*INDEX('İşçilik Parametreleri'!$F$16:$I$20,MATCH(VALUE('İşçilik Parametreleri'!$B$27),'İşçilik Parametreleri'!$E$16:$E$20,0),MATCH('İşçilik Parametreleri'!$B$26,{"Manuel","Robot","HTD","Lazer"},0)))*'İşçilik Parametreleri'!$B$28/1000+O25*IF(OR('İşçilik Parametreleri'!$B$26="Robot",'İşçilik Parametreleri'!$B$26="HTD"),'İşçilik Parametreleri'!$B$30,'İşçilik Parametreleri'!$B$29))*'İşçilik Parametreleri'!$B$31</f>
        <v>17.55</v>
      </c>
      <c r="Z25" s="74">
        <f t="shared" si="1"/>
        <v>53.54849999999999</v>
      </c>
      <c r="AA25" s="75" t="s">
        <v>124</v>
      </c>
      <c r="AB25" s="76"/>
      <c r="AC25" s="77">
        <f>IF(AA25="Kataforez",N(AB25),IF(AA25="Yaş boya",'İşçilik Parametreleri'!$B$6/MAX(1,ROUND(IF(ISNUMBER(AB25),AB25,'İşçilik Parametreleri'!$B$7),0)),0))</f>
        <v>0</v>
      </c>
      <c r="AD25" s="78">
        <f>W25/100*'İşçilik Parametreleri'!$B$9+X25/100*'İşçilik Parametreleri'!$B$17+Y25/100*'İşçilik Parametreleri'!$B$25</f>
        <v>17.849499999999999</v>
      </c>
      <c r="AE25" s="78">
        <f t="shared" si="2"/>
        <v>17.849499999999999</v>
      </c>
      <c r="AF25" s="75">
        <v>53</v>
      </c>
      <c r="AG25" s="79">
        <f>AD25*AF25+IF(AA25="Kataforez",N(AB25)*AF25,IF(AA25="Yaş boya",ROUNDUP(AF25/MAX(1,ROUND(IF(ISNUMBER(AB25),AB25,'İşçilik Parametreleri'!$B$7),0)),0)*'İşçilik Parametreleri'!$B$6,0))</f>
        <v>946.0234999999999</v>
      </c>
      <c r="AH25" s="70">
        <f t="shared" si="3"/>
        <v>47.301174999999994</v>
      </c>
    </row>
    <row r="26" spans="1:34" ht="15" customHeight="1" x14ac:dyDescent="0.25">
      <c r="A26" s="82" t="s">
        <v>462</v>
      </c>
      <c r="B26" s="83" t="s">
        <v>23</v>
      </c>
      <c r="C26" s="81" t="s">
        <v>133</v>
      </c>
      <c r="D26" s="68" t="s">
        <v>84</v>
      </c>
      <c r="E26" s="68" t="s">
        <v>94</v>
      </c>
      <c r="F26" s="68">
        <v>1</v>
      </c>
      <c r="G26" s="68">
        <v>2</v>
      </c>
      <c r="H26" s="68">
        <v>6</v>
      </c>
      <c r="I26" s="68">
        <v>6</v>
      </c>
      <c r="J26" s="68">
        <v>6</v>
      </c>
      <c r="K26" s="70">
        <v>8.6489999999999991</v>
      </c>
      <c r="L26" s="70">
        <v>8.6489999999999991</v>
      </c>
      <c r="M26" s="71">
        <f t="shared" si="0"/>
        <v>0</v>
      </c>
      <c r="N26" s="68">
        <v>5</v>
      </c>
      <c r="O26" s="68">
        <v>5</v>
      </c>
      <c r="P26" s="68">
        <v>0</v>
      </c>
      <c r="Q26" s="72">
        <v>760</v>
      </c>
      <c r="R26" s="72">
        <v>0</v>
      </c>
      <c r="S26" s="72">
        <v>0</v>
      </c>
      <c r="T26" s="72">
        <v>0</v>
      </c>
      <c r="U26" s="72">
        <v>0</v>
      </c>
      <c r="V26" s="73">
        <f>SUM(Q26:U26)*'İşçilik Parametreleri'!$B$28/1000</f>
        <v>0.76</v>
      </c>
      <c r="W26" s="70">
        <f>SUMIF('Büküm Parçaları'!$A$2:$A$213,A26,'Büküm Parçaları'!$I$2:$I$213)</f>
        <v>19.664999999999999</v>
      </c>
      <c r="X26" s="70">
        <f>(I26*'İşçilik Parametreleri'!$B$18+IF(L26&gt;'İşçilik Parametreleri'!$B$21,'İşçilik Parametreleri'!$B$20,'İşçilik Parametreleri'!$B$19)+N26*'İşçilik Parametreleri'!$B$22)*'İşçilik Parametreleri'!$B$23</f>
        <v>17.912500000000001</v>
      </c>
      <c r="Y26" s="70">
        <f>(IF('İşçilik Parametreleri'!$B$27="Resme göre",(Q26*INDEX('İşçilik Parametreleri'!$F$16:$I$20,1,MATCH('İşçilik Parametreleri'!$B$26,{"Manuel","Robot","HTD","Lazer"},0))+R26*INDEX('İşçilik Parametreleri'!$F$16:$I$20,2,MATCH('İşçilik Parametreleri'!$B$26,{"Manuel","Robot","HTD","Lazer"},0))+S26*INDEX('İşçilik Parametreleri'!$F$16:$I$20,3,MATCH('İşçilik Parametreleri'!$B$26,{"Manuel","Robot","HTD","Lazer"},0))+T26*INDEX('İşçilik Parametreleri'!$F$16:$I$20,4,MATCH('İşçilik Parametreleri'!$B$26,{"Manuel","Robot","HTD","Lazer"},0))+U26*INDEX('İşçilik Parametreleri'!$F$16:$I$20,5,MATCH('İşçilik Parametreleri'!$B$26,{"Manuel","Robot","HTD","Lazer"},0))),SUM(Q26:U26)*INDEX('İşçilik Parametreleri'!$F$16:$I$20,MATCH(VALUE('İşçilik Parametreleri'!$B$27),'İşçilik Parametreleri'!$E$16:$E$20,0),MATCH('İşçilik Parametreleri'!$B$26,{"Manuel","Robot","HTD","Lazer"},0)))*'İşçilik Parametreleri'!$B$28/1000+O26*IF(OR('İşçilik Parametreleri'!$B$26="Robot",'İşçilik Parametreleri'!$B$26="HTD"),'İşçilik Parametreleri'!$B$30,'İşçilik Parametreleri'!$B$29))*'İşçilik Parametreleri'!$B$31</f>
        <v>10.32</v>
      </c>
      <c r="Z26" s="74">
        <f t="shared" si="1"/>
        <v>28.738499999999998</v>
      </c>
      <c r="AA26" s="75" t="s">
        <v>94</v>
      </c>
      <c r="AB26" s="76"/>
      <c r="AC26" s="77">
        <f>IF(AA26="Kataforez",N(AB26),IF(AA26="Yaş boya",'İşçilik Parametreleri'!$B$6/MAX(1,ROUND(IF(ISNUMBER(AB26),AB26,'İşçilik Parametreleri'!$B$7),0)),0))</f>
        <v>0</v>
      </c>
      <c r="AD26" s="78">
        <f>W26/100*'İşçilik Parametreleri'!$B$9+X26/100*'İşçilik Parametreleri'!$B$17+Y26/100*'İşçilik Parametreleri'!$B$25</f>
        <v>9.5794999999999995</v>
      </c>
      <c r="AE26" s="78">
        <f t="shared" si="2"/>
        <v>9.5794999999999995</v>
      </c>
      <c r="AF26" s="75">
        <v>98</v>
      </c>
      <c r="AG26" s="79">
        <f>AD26*AF26+IF(AA26="Kataforez",N(AB26)*AF26,IF(AA26="Yaş boya",ROUNDUP(AF26/MAX(1,ROUND(IF(ISNUMBER(AB26),AB26,'İşçilik Parametreleri'!$B$7),0)),0)*'İşçilik Parametreleri'!$B$6,0))</f>
        <v>938.79099999999994</v>
      </c>
      <c r="AH26" s="70">
        <f t="shared" si="3"/>
        <v>46.939549999999997</v>
      </c>
    </row>
    <row r="27" spans="1:34" ht="15" customHeight="1" x14ac:dyDescent="0.25">
      <c r="A27" s="82" t="s">
        <v>463</v>
      </c>
      <c r="B27" s="68" t="s">
        <v>439</v>
      </c>
      <c r="C27" s="69" t="s">
        <v>135</v>
      </c>
      <c r="D27" s="68" t="s">
        <v>130</v>
      </c>
      <c r="E27" s="68" t="s">
        <v>130</v>
      </c>
      <c r="F27" s="68">
        <v>1</v>
      </c>
      <c r="G27" s="68">
        <v>3</v>
      </c>
      <c r="H27" s="68">
        <v>25</v>
      </c>
      <c r="I27" s="68">
        <v>25</v>
      </c>
      <c r="J27" s="68">
        <v>20</v>
      </c>
      <c r="K27" s="70"/>
      <c r="L27" s="70">
        <v>79.290000000000006</v>
      </c>
      <c r="M27" s="71" t="str">
        <f t="shared" si="0"/>
        <v/>
      </c>
      <c r="N27" s="68">
        <v>46</v>
      </c>
      <c r="O27" s="68">
        <v>46</v>
      </c>
      <c r="P27" s="68">
        <v>0</v>
      </c>
      <c r="Q27" s="72">
        <v>6176</v>
      </c>
      <c r="R27" s="72">
        <v>0</v>
      </c>
      <c r="S27" s="72">
        <v>0</v>
      </c>
      <c r="T27" s="72">
        <v>0</v>
      </c>
      <c r="U27" s="72">
        <v>0</v>
      </c>
      <c r="V27" s="73">
        <f>SUM(Q27:U27)*'İşçilik Parametreleri'!$B$28/1000</f>
        <v>6.1760000000000002</v>
      </c>
      <c r="W27" s="70">
        <f>SUMIF('Büküm Parçaları'!$A$2:$A$213,A27,'Büküm Parçaları'!$I$2:$I$213)</f>
        <v>120.86499999999999</v>
      </c>
      <c r="X27" s="70">
        <f>(I27*'İşçilik Parametreleri'!$B$18+IF(L27&gt;'İşçilik Parametreleri'!$B$21,'İşçilik Parametreleri'!$B$20,'İşçilik Parametreleri'!$B$19)+N27*'İşçilik Parametreleri'!$B$22)*'İşçilik Parametreleri'!$B$23</f>
        <v>97.5</v>
      </c>
      <c r="Y27" s="70">
        <f>(IF('İşçilik Parametreleri'!$B$27="Resme göre",(Q27*INDEX('İşçilik Parametreleri'!$F$16:$I$20,1,MATCH('İşçilik Parametreleri'!$B$26,{"Manuel","Robot","HTD","Lazer"},0))+R27*INDEX('İşçilik Parametreleri'!$F$16:$I$20,2,MATCH('İşçilik Parametreleri'!$B$26,{"Manuel","Robot","HTD","Lazer"},0))+S27*INDEX('İşçilik Parametreleri'!$F$16:$I$20,3,MATCH('İşçilik Parametreleri'!$B$26,{"Manuel","Robot","HTD","Lazer"},0))+T27*INDEX('İşçilik Parametreleri'!$F$16:$I$20,4,MATCH('İşçilik Parametreleri'!$B$26,{"Manuel","Robot","HTD","Lazer"},0))+U27*INDEX('İşçilik Parametreleri'!$F$16:$I$20,5,MATCH('İşçilik Parametreleri'!$B$26,{"Manuel","Robot","HTD","Lazer"},0))),SUM(Q27:U27)*INDEX('İşçilik Parametreleri'!$F$16:$I$20,MATCH(VALUE('İşçilik Parametreleri'!$B$27),'İşçilik Parametreleri'!$E$16:$E$20,0),MATCH('İşçilik Parametreleri'!$B$26,{"Manuel","Robot","HTD","Lazer"},0)))*'İşçilik Parametreleri'!$B$28/1000+O27*IF(OR('İşçilik Parametreleri'!$B$26="Robot",'İşçilik Parametreleri'!$B$26="HTD"),'İşçilik Parametreleri'!$B$30,'İşçilik Parametreleri'!$B$29))*'İşçilik Parametreleri'!$B$31</f>
        <v>89.231999999999999</v>
      </c>
      <c r="Z27" s="74">
        <f t="shared" si="1"/>
        <v>184.55819999999997</v>
      </c>
      <c r="AA27" s="75" t="s">
        <v>124</v>
      </c>
      <c r="AB27" s="76"/>
      <c r="AC27" s="77">
        <f>IF(AA27="Kataforez",N(AB27),IF(AA27="Yaş boya",'İşçilik Parametreleri'!$B$6/MAX(1,ROUND(IF(ISNUMBER(AB27),AB27,'İşçilik Parametreleri'!$B$7),0)),0))</f>
        <v>0</v>
      </c>
      <c r="AD27" s="78">
        <f>W27/100*'İşçilik Parametreleri'!$B$9+X27/100*'İşçilik Parametreleri'!$B$17+Y27/100*'İşçilik Parametreleri'!$B$25</f>
        <v>61.519400000000005</v>
      </c>
      <c r="AE27" s="78">
        <f t="shared" si="2"/>
        <v>61.519400000000005</v>
      </c>
      <c r="AF27" s="75">
        <v>14</v>
      </c>
      <c r="AG27" s="79">
        <f>AD27*AF27+IF(AA27="Kataforez",N(AB27)*AF27,IF(AA27="Yaş boya",ROUNDUP(AF27/MAX(1,ROUND(IF(ISNUMBER(AB27),AB27,'İşçilik Parametreleri'!$B$7),0)),0)*'İşçilik Parametreleri'!$B$6,0))</f>
        <v>861.27160000000003</v>
      </c>
      <c r="AH27" s="70">
        <f t="shared" si="3"/>
        <v>43.063580000000002</v>
      </c>
    </row>
    <row r="28" spans="1:34" ht="15" customHeight="1" x14ac:dyDescent="0.25">
      <c r="A28" s="82" t="s">
        <v>464</v>
      </c>
      <c r="B28" s="80" t="s">
        <v>23</v>
      </c>
      <c r="C28" s="81" t="s">
        <v>136</v>
      </c>
      <c r="D28" s="68" t="s">
        <v>137</v>
      </c>
      <c r="E28" s="68" t="s">
        <v>442</v>
      </c>
      <c r="F28" s="68">
        <v>1</v>
      </c>
      <c r="G28" s="68">
        <v>3</v>
      </c>
      <c r="H28" s="68">
        <v>2</v>
      </c>
      <c r="I28" s="68">
        <v>2</v>
      </c>
      <c r="J28" s="68">
        <v>2</v>
      </c>
      <c r="K28" s="70">
        <v>2.734</v>
      </c>
      <c r="L28" s="70">
        <v>2.734</v>
      </c>
      <c r="M28" s="71">
        <f t="shared" si="0"/>
        <v>0</v>
      </c>
      <c r="N28" s="68">
        <v>2</v>
      </c>
      <c r="O28" s="68">
        <v>2</v>
      </c>
      <c r="P28" s="68">
        <v>0</v>
      </c>
      <c r="Q28" s="72">
        <v>300</v>
      </c>
      <c r="R28" s="72">
        <v>0</v>
      </c>
      <c r="S28" s="72">
        <v>0</v>
      </c>
      <c r="T28" s="72">
        <v>0</v>
      </c>
      <c r="U28" s="72">
        <v>0</v>
      </c>
      <c r="V28" s="73">
        <f>SUM(Q28:U28)*'İşçilik Parametreleri'!$B$28/1000</f>
        <v>0.3</v>
      </c>
      <c r="W28" s="70">
        <f>SUMIF('Büküm Parçaları'!$A$2:$A$213,A28,'Büküm Parçaları'!$I$2:$I$213)</f>
        <v>6.5549999999999997</v>
      </c>
      <c r="X28" s="70">
        <f>(I28*'İşçilik Parametreleri'!$B$18+IF(L28&gt;'İşçilik Parametreleri'!$B$21,'İşçilik Parametreleri'!$B$20,'İşçilik Parametreleri'!$B$19)+N28*'İşçilik Parametreleri'!$B$22)*'İşçilik Parametreleri'!$B$23</f>
        <v>9.1624999999999996</v>
      </c>
      <c r="Y28" s="70">
        <f>(IF('İşçilik Parametreleri'!$B$27="Resme göre",(Q28*INDEX('İşçilik Parametreleri'!$F$16:$I$20,1,MATCH('İşçilik Parametreleri'!$B$26,{"Manuel","Robot","HTD","Lazer"},0))+R28*INDEX('İşçilik Parametreleri'!$F$16:$I$20,2,MATCH('İşçilik Parametreleri'!$B$26,{"Manuel","Robot","HTD","Lazer"},0))+S28*INDEX('İşçilik Parametreleri'!$F$16:$I$20,3,MATCH('İşçilik Parametreleri'!$B$26,{"Manuel","Robot","HTD","Lazer"},0))+T28*INDEX('İşçilik Parametreleri'!$F$16:$I$20,4,MATCH('İşçilik Parametreleri'!$B$26,{"Manuel","Robot","HTD","Lazer"},0))+U28*INDEX('İşçilik Parametreleri'!$F$16:$I$20,5,MATCH('İşçilik Parametreleri'!$B$26,{"Manuel","Robot","HTD","Lazer"},0))),SUM(Q28:U28)*INDEX('İşçilik Parametreleri'!$F$16:$I$20,MATCH(VALUE('İşçilik Parametreleri'!$B$27),'İşçilik Parametreleri'!$E$16:$E$20,0),MATCH('İşçilik Parametreleri'!$B$26,{"Manuel","Robot","HTD","Lazer"},0)))*'İşçilik Parametreleri'!$B$28/1000+O28*IF(OR('İşçilik Parametreleri'!$B$26="Robot",'İşçilik Parametreleri'!$B$26="HTD"),'İşçilik Parametreleri'!$B$30,'İşçilik Parametreleri'!$B$29))*'İşçilik Parametreleri'!$B$31</f>
        <v>4.0999999999999996</v>
      </c>
      <c r="Z28" s="74">
        <f t="shared" si="1"/>
        <v>11.890499999999999</v>
      </c>
      <c r="AA28" s="75" t="s">
        <v>86</v>
      </c>
      <c r="AB28" s="76">
        <v>10000</v>
      </c>
      <c r="AC28" s="77">
        <f>IF(AA28="Kataforez",N(AB28),IF(AA28="Yaş boya",'İşçilik Parametreleri'!$B$6/MAX(1,ROUND(IF(ISNUMBER(AB28),AB28,'İşçilik Parametreleri'!$B$7),0)),0))</f>
        <v>8.0000000000000002E-3</v>
      </c>
      <c r="AD28" s="78">
        <f>W28/100*'İşçilik Parametreleri'!$B$9+X28/100*'İşçilik Parametreleri'!$B$17+Y28/100*'İşçilik Parametreleri'!$B$25</f>
        <v>3.9634999999999998</v>
      </c>
      <c r="AE28" s="78">
        <f t="shared" si="2"/>
        <v>3.9714999999999998</v>
      </c>
      <c r="AF28" s="75">
        <v>176</v>
      </c>
      <c r="AG28" s="79">
        <f>AD28*AF28+IF(AA28="Kataforez",N(AB28)*AF28,IF(AA28="Yaş boya",ROUNDUP(AF28/MAX(1,ROUND(IF(ISNUMBER(AB28),AB28,'İşçilik Parametreleri'!$B$7),0)),0)*'İşçilik Parametreleri'!$B$6,0))</f>
        <v>777.57600000000002</v>
      </c>
      <c r="AH28" s="70">
        <f t="shared" si="3"/>
        <v>34.878799999999998</v>
      </c>
    </row>
    <row r="29" spans="1:34" ht="15" customHeight="1" x14ac:dyDescent="0.25">
      <c r="A29" s="82" t="s">
        <v>465</v>
      </c>
      <c r="B29" s="80" t="s">
        <v>23</v>
      </c>
      <c r="C29" s="81" t="s">
        <v>138</v>
      </c>
      <c r="D29" s="68" t="s">
        <v>139</v>
      </c>
      <c r="E29" s="68" t="s">
        <v>442</v>
      </c>
      <c r="F29" s="68">
        <v>1</v>
      </c>
      <c r="G29" s="68">
        <v>2</v>
      </c>
      <c r="H29" s="68">
        <v>3</v>
      </c>
      <c r="I29" s="68">
        <v>3</v>
      </c>
      <c r="J29" s="68">
        <v>6</v>
      </c>
      <c r="K29" s="70">
        <v>2.5609999999999999</v>
      </c>
      <c r="L29" s="70">
        <v>2.5299999999999998</v>
      </c>
      <c r="M29" s="71">
        <f t="shared" si="0"/>
        <v>-1.2104646622413175E-2</v>
      </c>
      <c r="N29" s="68">
        <v>4</v>
      </c>
      <c r="O29" s="68">
        <v>4</v>
      </c>
      <c r="P29" s="68">
        <v>0</v>
      </c>
      <c r="Q29" s="72">
        <v>600</v>
      </c>
      <c r="R29" s="72">
        <v>0</v>
      </c>
      <c r="S29" s="72">
        <v>0</v>
      </c>
      <c r="T29" s="72">
        <v>0</v>
      </c>
      <c r="U29" s="72">
        <v>0</v>
      </c>
      <c r="V29" s="73">
        <f>SUM(Q29:U29)*'İşçilik Parametreleri'!$B$28/1000</f>
        <v>0.6</v>
      </c>
      <c r="W29" s="70">
        <f>SUMIF('Büküm Parçaları'!$A$2:$A$213,A29,'Büküm Parçaları'!$I$2:$I$213)</f>
        <v>15.409999999999998</v>
      </c>
      <c r="X29" s="70">
        <f>(I29*'İşçilik Parametreleri'!$B$18+IF(L29&gt;'İşçilik Parametreleri'!$B$21,'İşçilik Parametreleri'!$B$20,'İşçilik Parametreleri'!$B$19)+N29*'İşçilik Parametreleri'!$B$22)*'İşçilik Parametreleri'!$B$23</f>
        <v>12.9125</v>
      </c>
      <c r="Y29" s="70">
        <f>(IF('İşçilik Parametreleri'!$B$27="Resme göre",(Q29*INDEX('İşçilik Parametreleri'!$F$16:$I$20,1,MATCH('İşçilik Parametreleri'!$B$26,{"Manuel","Robot","HTD","Lazer"},0))+R29*INDEX('İşçilik Parametreleri'!$F$16:$I$20,2,MATCH('İşçilik Parametreleri'!$B$26,{"Manuel","Robot","HTD","Lazer"},0))+S29*INDEX('İşçilik Parametreleri'!$F$16:$I$20,3,MATCH('İşçilik Parametreleri'!$B$26,{"Manuel","Robot","HTD","Lazer"},0))+T29*INDEX('İşçilik Parametreleri'!$F$16:$I$20,4,MATCH('İşçilik Parametreleri'!$B$26,{"Manuel","Robot","HTD","Lazer"},0))+U29*INDEX('İşçilik Parametreleri'!$F$16:$I$20,5,MATCH('İşçilik Parametreleri'!$B$26,{"Manuel","Robot","HTD","Lazer"},0))),SUM(Q29:U29)*INDEX('İşçilik Parametreleri'!$F$16:$I$20,MATCH(VALUE('İşçilik Parametreleri'!$B$27),'İşçilik Parametreleri'!$E$16:$E$20,0),MATCH('İşçilik Parametreleri'!$B$26,{"Manuel","Robot","HTD","Lazer"},0)))*'İşçilik Parametreleri'!$B$28/1000+O29*IF(OR('İşçilik Parametreleri'!$B$26="Robot",'İşçilik Parametreleri'!$B$26="HTD"),'İşçilik Parametreleri'!$B$30,'İşçilik Parametreleri'!$B$29))*'İşçilik Parametreleri'!$B$31</f>
        <v>8.1999999999999993</v>
      </c>
      <c r="Z29" s="74">
        <f t="shared" si="1"/>
        <v>21.913499999999996</v>
      </c>
      <c r="AA29" s="75" t="s">
        <v>86</v>
      </c>
      <c r="AB29" s="76">
        <v>10000</v>
      </c>
      <c r="AC29" s="77">
        <f>IF(AA29="Kataforez",N(AB29),IF(AA29="Yaş boya",'İşçilik Parametreleri'!$B$6/MAX(1,ROUND(IF(ISNUMBER(AB29),AB29,'İşçilik Parametreleri'!$B$7),0)),0))</f>
        <v>8.0000000000000002E-3</v>
      </c>
      <c r="AD29" s="78">
        <f>W29/100*'İşçilik Parametreleri'!$B$9+X29/100*'İşçilik Parametreleri'!$B$17+Y29/100*'İşçilik Parametreleri'!$B$25</f>
        <v>7.3044999999999991</v>
      </c>
      <c r="AE29" s="78">
        <f t="shared" si="2"/>
        <v>7.3124999999999991</v>
      </c>
      <c r="AF29" s="75">
        <v>81</v>
      </c>
      <c r="AG29" s="79">
        <f>AD29*AF29+IF(AA29="Kataforez",N(AB29)*AF29,IF(AA29="Yaş boya",ROUNDUP(AF29/MAX(1,ROUND(IF(ISNUMBER(AB29),AB29,'İşçilik Parametreleri'!$B$7),0)),0)*'İşçilik Parametreleri'!$B$6,0))</f>
        <v>671.66449999999998</v>
      </c>
      <c r="AH29" s="70">
        <f t="shared" si="3"/>
        <v>29.583224999999992</v>
      </c>
    </row>
    <row r="30" spans="1:34" ht="15" customHeight="1" x14ac:dyDescent="0.25">
      <c r="A30" s="82" t="s">
        <v>466</v>
      </c>
      <c r="B30" s="80" t="s">
        <v>23</v>
      </c>
      <c r="C30" s="81" t="s">
        <v>140</v>
      </c>
      <c r="D30" s="68" t="s">
        <v>99</v>
      </c>
      <c r="E30" s="68" t="s">
        <v>442</v>
      </c>
      <c r="F30" s="68">
        <v>2</v>
      </c>
      <c r="G30" s="68">
        <v>3</v>
      </c>
      <c r="H30" s="68">
        <v>2</v>
      </c>
      <c r="I30" s="68">
        <v>2</v>
      </c>
      <c r="J30" s="68">
        <v>0</v>
      </c>
      <c r="K30" s="70">
        <v>0.92</v>
      </c>
      <c r="L30" s="70">
        <v>1.1479999999999999</v>
      </c>
      <c r="M30" s="71">
        <f t="shared" si="0"/>
        <v>0.24782608695652159</v>
      </c>
      <c r="N30" s="68">
        <v>2</v>
      </c>
      <c r="O30" s="68">
        <v>2</v>
      </c>
      <c r="P30" s="68">
        <v>0</v>
      </c>
      <c r="Q30" s="72">
        <v>110</v>
      </c>
      <c r="R30" s="72">
        <v>0</v>
      </c>
      <c r="S30" s="72">
        <v>0</v>
      </c>
      <c r="T30" s="72">
        <v>0</v>
      </c>
      <c r="U30" s="72">
        <v>0</v>
      </c>
      <c r="V30" s="73">
        <f>SUM(Q30:U30)*'İşçilik Parametreleri'!$B$28/1000</f>
        <v>0.11</v>
      </c>
      <c r="W30" s="70">
        <f>SUMIF('Büküm Parçaları'!$A$2:$A$213,A30,'Büküm Parçaları'!$I$2:$I$213)</f>
        <v>0</v>
      </c>
      <c r="X30" s="70">
        <f>(I30*'İşçilik Parametreleri'!$B$18+IF(L30&gt;'İşçilik Parametreleri'!$B$21,'İşçilik Parametreleri'!$B$20,'İşçilik Parametreleri'!$B$19)+N30*'İşçilik Parametreleri'!$B$22)*'İşçilik Parametreleri'!$B$23</f>
        <v>9.1624999999999996</v>
      </c>
      <c r="Y30" s="70">
        <f>(IF('İşçilik Parametreleri'!$B$27="Resme göre",(Q30*INDEX('İşçilik Parametreleri'!$F$16:$I$20,1,MATCH('İşçilik Parametreleri'!$B$26,{"Manuel","Robot","HTD","Lazer"},0))+R30*INDEX('İşçilik Parametreleri'!$F$16:$I$20,2,MATCH('İşçilik Parametreleri'!$B$26,{"Manuel","Robot","HTD","Lazer"},0))+S30*INDEX('İşçilik Parametreleri'!$F$16:$I$20,3,MATCH('İşçilik Parametreleri'!$B$26,{"Manuel","Robot","HTD","Lazer"},0))+T30*INDEX('İşçilik Parametreleri'!$F$16:$I$20,4,MATCH('İşçilik Parametreleri'!$B$26,{"Manuel","Robot","HTD","Lazer"},0))+U30*INDEX('İşçilik Parametreleri'!$F$16:$I$20,5,MATCH('İşçilik Parametreleri'!$B$26,{"Manuel","Robot","HTD","Lazer"},0))),SUM(Q30:U30)*INDEX('İşçilik Parametreleri'!$F$16:$I$20,MATCH(VALUE('İşçilik Parametreleri'!$B$27),'İşçilik Parametreleri'!$E$16:$E$20,0),MATCH('İşçilik Parametreleri'!$B$26,{"Manuel","Robot","HTD","Lazer"},0)))*'İşçilik Parametreleri'!$B$28/1000+O30*IF(OR('İşçilik Parametreleri'!$B$26="Robot",'İşçilik Parametreleri'!$B$26="HTD"),'İşçilik Parametreleri'!$B$30,'İşçilik Parametreleri'!$B$29))*'İşçilik Parametreleri'!$B$31</f>
        <v>2.77</v>
      </c>
      <c r="Z30" s="74">
        <f t="shared" si="1"/>
        <v>7.1594999999999995</v>
      </c>
      <c r="AA30" s="75" t="s">
        <v>86</v>
      </c>
      <c r="AB30" s="76">
        <v>10000</v>
      </c>
      <c r="AC30" s="77">
        <f>IF(AA30="Kataforez",N(AB30),IF(AA30="Yaş boya",'İşçilik Parametreleri'!$B$6/MAX(1,ROUND(IF(ISNUMBER(AB30),AB30,'İşçilik Parametreleri'!$B$7),0)),0))</f>
        <v>8.0000000000000002E-3</v>
      </c>
      <c r="AD30" s="78">
        <f>W30/100*'İşçilik Parametreleri'!$B$9+X30/100*'İşçilik Parametreleri'!$B$17+Y30/100*'İşçilik Parametreleri'!$B$25</f>
        <v>2.3864999999999998</v>
      </c>
      <c r="AE30" s="78">
        <f t="shared" si="2"/>
        <v>2.3944999999999999</v>
      </c>
      <c r="AF30" s="75">
        <v>244</v>
      </c>
      <c r="AG30" s="79">
        <f>AD30*AF30+IF(AA30="Kataforez",N(AB30)*AF30,IF(AA30="Yaş boya",ROUNDUP(AF30/MAX(1,ROUND(IF(ISNUMBER(AB30),AB30,'İşçilik Parametreleri'!$B$7),0)),0)*'İşçilik Parametreleri'!$B$6,0))</f>
        <v>662.30599999999993</v>
      </c>
      <c r="AH30" s="70">
        <f t="shared" si="3"/>
        <v>29.115299999999998</v>
      </c>
    </row>
    <row r="31" spans="1:34" ht="15" customHeight="1" x14ac:dyDescent="0.25">
      <c r="A31" s="67" t="s">
        <v>467</v>
      </c>
      <c r="B31" s="68" t="s">
        <v>439</v>
      </c>
      <c r="C31" s="69" t="s">
        <v>141</v>
      </c>
      <c r="D31" s="68" t="s">
        <v>142</v>
      </c>
      <c r="E31" s="68" t="s">
        <v>442</v>
      </c>
      <c r="F31" s="68">
        <v>1</v>
      </c>
      <c r="G31" s="68">
        <v>4</v>
      </c>
      <c r="H31" s="68">
        <v>19</v>
      </c>
      <c r="I31" s="68">
        <v>19</v>
      </c>
      <c r="J31" s="68">
        <v>13</v>
      </c>
      <c r="K31" s="70">
        <v>76.037000000000006</v>
      </c>
      <c r="L31" s="70">
        <v>76.278000000000006</v>
      </c>
      <c r="M31" s="71">
        <f t="shared" si="0"/>
        <v>3.1695095808619441E-3</v>
      </c>
      <c r="N31" s="68">
        <v>27</v>
      </c>
      <c r="O31" s="68">
        <v>16</v>
      </c>
      <c r="P31" s="68">
        <v>11</v>
      </c>
      <c r="Q31" s="72">
        <v>10100</v>
      </c>
      <c r="R31" s="72">
        <v>0</v>
      </c>
      <c r="S31" s="72">
        <v>0</v>
      </c>
      <c r="T31" s="72">
        <v>0</v>
      </c>
      <c r="U31" s="72">
        <v>0</v>
      </c>
      <c r="V31" s="73">
        <f>SUM(Q31:U31)*'İşçilik Parametreleri'!$B$28/1000</f>
        <v>10.1</v>
      </c>
      <c r="W31" s="70">
        <f>SUMIF('Büküm Parçaları'!$A$2:$A$213,A31,'Büküm Parçaları'!$I$2:$I$213)</f>
        <v>53.244999999999997</v>
      </c>
      <c r="X31" s="70">
        <f>(I31*'İşçilik Parametreleri'!$B$18+IF(L31&gt;'İşçilik Parametreleri'!$B$21,'İşçilik Parametreleri'!$B$20,'İşçilik Parametreleri'!$B$19)+N31*'İşçilik Parametreleri'!$B$22)*'İşçilik Parametreleri'!$B$23</f>
        <v>66.25</v>
      </c>
      <c r="Y31" s="70">
        <f>(IF('İşçilik Parametreleri'!$B$27="Resme göre",(Q31*INDEX('İşçilik Parametreleri'!$F$16:$I$20,1,MATCH('İşçilik Parametreleri'!$B$26,{"Manuel","Robot","HTD","Lazer"},0))+R31*INDEX('İşçilik Parametreleri'!$F$16:$I$20,2,MATCH('İşçilik Parametreleri'!$B$26,{"Manuel","Robot","HTD","Lazer"},0))+S31*INDEX('İşçilik Parametreleri'!$F$16:$I$20,3,MATCH('İşçilik Parametreleri'!$B$26,{"Manuel","Robot","HTD","Lazer"},0))+T31*INDEX('İşçilik Parametreleri'!$F$16:$I$20,4,MATCH('İşçilik Parametreleri'!$B$26,{"Manuel","Robot","HTD","Lazer"},0))+U31*INDEX('İşçilik Parametreleri'!$F$16:$I$20,5,MATCH('İşçilik Parametreleri'!$B$26,{"Manuel","Robot","HTD","Lazer"},0))),SUM(Q31:U31)*INDEX('İşçilik Parametreleri'!$F$16:$I$20,MATCH(VALUE('İşçilik Parametreleri'!$B$27),'İşçilik Parametreleri'!$E$16:$E$20,0),MATCH('İşçilik Parametreleri'!$B$26,{"Manuel","Robot","HTD","Lazer"},0)))*'İşçilik Parametreleri'!$B$28/1000+O31*IF(OR('İşçilik Parametreleri'!$B$26="Robot",'İşçilik Parametreleri'!$B$26="HTD"),'İşçilik Parametreleri'!$B$30,'İşçilik Parametreleri'!$B$29))*'İşçilik Parametreleri'!$B$31</f>
        <v>86.7</v>
      </c>
      <c r="Z31" s="74">
        <f t="shared" si="1"/>
        <v>123.71699999999998</v>
      </c>
      <c r="AA31" s="75" t="s">
        <v>86</v>
      </c>
      <c r="AB31" s="76">
        <v>10000</v>
      </c>
      <c r="AC31" s="77">
        <f>IF(AA31="Kataforez",N(AB31),IF(AA31="Yaş boya",'İşçilik Parametreleri'!$B$6/MAX(1,ROUND(IF(ISNUMBER(AB31),AB31,'İşçilik Parametreleri'!$B$7),0)),0))</f>
        <v>8.0000000000000002E-3</v>
      </c>
      <c r="AD31" s="78">
        <f>W31/100*'İşçilik Parametreleri'!$B$9+X31/100*'İşçilik Parametreleri'!$B$17+Y31/100*'İşçilik Parametreleri'!$B$25</f>
        <v>41.239000000000004</v>
      </c>
      <c r="AE31" s="78">
        <f t="shared" si="2"/>
        <v>41.247000000000007</v>
      </c>
      <c r="AF31" s="75">
        <v>13</v>
      </c>
      <c r="AG31" s="79">
        <f>AD31*AF31+IF(AA31="Kataforez",N(AB31)*AF31,IF(AA31="Yaş boya",ROUNDUP(AF31/MAX(1,ROUND(IF(ISNUMBER(AB31),AB31,'İşçilik Parametreleri'!$B$7),0)),0)*'İşçilik Parametreleri'!$B$6,0))</f>
        <v>616.10700000000008</v>
      </c>
      <c r="AH31" s="70">
        <f t="shared" si="3"/>
        <v>26.805349999999997</v>
      </c>
    </row>
    <row r="32" spans="1:34" ht="15" customHeight="1" x14ac:dyDescent="0.25">
      <c r="A32" s="82" t="s">
        <v>468</v>
      </c>
      <c r="B32" s="83" t="s">
        <v>23</v>
      </c>
      <c r="C32" s="81" t="s">
        <v>144</v>
      </c>
      <c r="D32" s="68" t="s">
        <v>139</v>
      </c>
      <c r="E32" s="68" t="s">
        <v>447</v>
      </c>
      <c r="F32" s="68">
        <v>2</v>
      </c>
      <c r="G32" s="68">
        <v>2</v>
      </c>
      <c r="H32" s="68">
        <v>5</v>
      </c>
      <c r="I32" s="68">
        <v>5</v>
      </c>
      <c r="J32" s="68">
        <v>3</v>
      </c>
      <c r="K32" s="70">
        <v>14.031000000000001</v>
      </c>
      <c r="L32" s="70">
        <v>8.7050000000000001</v>
      </c>
      <c r="M32" s="71">
        <f t="shared" si="0"/>
        <v>-0.37958805502102488</v>
      </c>
      <c r="N32" s="68">
        <v>5</v>
      </c>
      <c r="O32" s="68">
        <v>5</v>
      </c>
      <c r="P32" s="68">
        <v>0</v>
      </c>
      <c r="Q32" s="72">
        <v>0</v>
      </c>
      <c r="R32" s="72">
        <v>850</v>
      </c>
      <c r="S32" s="72">
        <v>0</v>
      </c>
      <c r="T32" s="72">
        <v>0</v>
      </c>
      <c r="U32" s="72">
        <v>0</v>
      </c>
      <c r="V32" s="73">
        <f>SUM(Q32:U32)*'İşçilik Parametreleri'!$B$28/1000</f>
        <v>0.85</v>
      </c>
      <c r="W32" s="70">
        <f>SUMIF('Büküm Parçaları'!$A$2:$A$213,A32,'Büküm Parçaları'!$I$2:$I$213)</f>
        <v>11.959999999999999</v>
      </c>
      <c r="X32" s="70">
        <f>(I32*'İşçilik Parametreleri'!$B$18+IF(L32&gt;'İşçilik Parametreleri'!$B$21,'İşçilik Parametreleri'!$B$20,'İşçilik Parametreleri'!$B$19)+N32*'İşçilik Parametreleri'!$B$22)*'İşçilik Parametreleri'!$B$23</f>
        <v>16.662500000000001</v>
      </c>
      <c r="Y32" s="70">
        <f>(IF('İşçilik Parametreleri'!$B$27="Resme göre",(Q32*INDEX('İşçilik Parametreleri'!$F$16:$I$20,1,MATCH('İşçilik Parametreleri'!$B$26,{"Manuel","Robot","HTD","Lazer"},0))+R32*INDEX('İşçilik Parametreleri'!$F$16:$I$20,2,MATCH('İşçilik Parametreleri'!$B$26,{"Manuel","Robot","HTD","Lazer"},0))+S32*INDEX('İşçilik Parametreleri'!$F$16:$I$20,3,MATCH('İşçilik Parametreleri'!$B$26,{"Manuel","Robot","HTD","Lazer"},0))+T32*INDEX('İşçilik Parametreleri'!$F$16:$I$20,4,MATCH('İşçilik Parametreleri'!$B$26,{"Manuel","Robot","HTD","Lazer"},0))+U32*INDEX('İşçilik Parametreleri'!$F$16:$I$20,5,MATCH('İşçilik Parametreleri'!$B$26,{"Manuel","Robot","HTD","Lazer"},0))),SUM(Q32:U32)*INDEX('İşçilik Parametreleri'!$F$16:$I$20,MATCH(VALUE('İşçilik Parametreleri'!$B$27),'İşçilik Parametreleri'!$E$16:$E$20,0),MATCH('İşçilik Parametreleri'!$B$26,{"Manuel","Robot","HTD","Lazer"},0)))*'İşçilik Parametreleri'!$B$28/1000+O32*IF(OR('İşçilik Parametreleri'!$B$26="Robot",'İşçilik Parametreleri'!$B$26="HTD"),'İşçilik Parametreleri'!$B$30,'İşçilik Parametreleri'!$B$29))*'İşçilik Parametreleri'!$B$31</f>
        <v>14.35</v>
      </c>
      <c r="Z32" s="74">
        <f t="shared" si="1"/>
        <v>25.7835</v>
      </c>
      <c r="AA32" s="75" t="s">
        <v>86</v>
      </c>
      <c r="AB32" s="76">
        <v>10000</v>
      </c>
      <c r="AC32" s="77">
        <f>IF(AA32="Kataforez",N(AB32),IF(AA32="Yaş boya",'İşçilik Parametreleri'!$B$6/MAX(1,ROUND(IF(ISNUMBER(AB32),AB32,'İşçilik Parametreleri'!$B$7),0)),0))</f>
        <v>8.0000000000000002E-3</v>
      </c>
      <c r="AD32" s="78">
        <f>W32/100*'İşçilik Parametreleri'!$B$9+X32/100*'İşçilik Parametreleri'!$B$17+Y32/100*'İşçilik Parametreleri'!$B$25</f>
        <v>8.5945</v>
      </c>
      <c r="AE32" s="78">
        <f t="shared" si="2"/>
        <v>8.6024999999999991</v>
      </c>
      <c r="AF32" s="75">
        <v>61</v>
      </c>
      <c r="AG32" s="79">
        <f>AD32*AF32+IF(AA32="Kataforez",N(AB32)*AF32,IF(AA32="Yaş boya",ROUNDUP(AF32/MAX(1,ROUND(IF(ISNUMBER(AB32),AB32,'İşçilik Parametreleri'!$B$7),0)),0)*'İşçilik Parametreleri'!$B$6,0))</f>
        <v>604.2645</v>
      </c>
      <c r="AH32" s="70">
        <f t="shared" si="3"/>
        <v>26.213225000000001</v>
      </c>
    </row>
    <row r="33" spans="1:34" ht="15" customHeight="1" x14ac:dyDescent="0.25">
      <c r="A33" s="82" t="s">
        <v>469</v>
      </c>
      <c r="B33" s="80" t="s">
        <v>23</v>
      </c>
      <c r="C33" s="81" t="s">
        <v>146</v>
      </c>
      <c r="D33" s="68" t="s">
        <v>117</v>
      </c>
      <c r="E33" s="68" t="s">
        <v>442</v>
      </c>
      <c r="F33" s="68">
        <v>1</v>
      </c>
      <c r="G33" s="68">
        <v>2</v>
      </c>
      <c r="H33" s="68">
        <v>3</v>
      </c>
      <c r="I33" s="68">
        <v>3</v>
      </c>
      <c r="J33" s="68">
        <v>1</v>
      </c>
      <c r="K33" s="70">
        <v>2.8220000000000001</v>
      </c>
      <c r="L33" s="70">
        <v>2.75</v>
      </c>
      <c r="M33" s="71">
        <f t="shared" si="0"/>
        <v>-2.5513819985825678E-2</v>
      </c>
      <c r="N33" s="68">
        <v>4</v>
      </c>
      <c r="O33" s="68">
        <v>4</v>
      </c>
      <c r="P33" s="68">
        <v>0</v>
      </c>
      <c r="Q33" s="72">
        <v>0</v>
      </c>
      <c r="R33" s="72">
        <v>400</v>
      </c>
      <c r="S33" s="72">
        <v>0</v>
      </c>
      <c r="T33" s="72">
        <v>0</v>
      </c>
      <c r="U33" s="72">
        <v>0</v>
      </c>
      <c r="V33" s="73">
        <f>SUM(Q33:U33)*'İşçilik Parametreleri'!$B$28/1000</f>
        <v>0.4</v>
      </c>
      <c r="W33" s="70">
        <f>SUMIF('Büküm Parçaları'!$A$2:$A$213,A33,'Büküm Parçaları'!$I$2:$I$213)</f>
        <v>5.4049999999999994</v>
      </c>
      <c r="X33" s="70">
        <f>(I33*'İşçilik Parametreleri'!$B$18+IF(L33&gt;'İşçilik Parametreleri'!$B$21,'İşçilik Parametreleri'!$B$20,'İşçilik Parametreleri'!$B$19)+N33*'İşçilik Parametreleri'!$B$22)*'İşçilik Parametreleri'!$B$23</f>
        <v>12.9125</v>
      </c>
      <c r="Y33" s="70">
        <f>(IF('İşçilik Parametreleri'!$B$27="Resme göre",(Q33*INDEX('İşçilik Parametreleri'!$F$16:$I$20,1,MATCH('İşçilik Parametreleri'!$B$26,{"Manuel","Robot","HTD","Lazer"},0))+R33*INDEX('İşçilik Parametreleri'!$F$16:$I$20,2,MATCH('İşçilik Parametreleri'!$B$26,{"Manuel","Robot","HTD","Lazer"},0))+S33*INDEX('İşçilik Parametreleri'!$F$16:$I$20,3,MATCH('İşçilik Parametreleri'!$B$26,{"Manuel","Robot","HTD","Lazer"},0))+T33*INDEX('İşçilik Parametreleri'!$F$16:$I$20,4,MATCH('İşçilik Parametreleri'!$B$26,{"Manuel","Robot","HTD","Lazer"},0))+U33*INDEX('İşçilik Parametreleri'!$F$16:$I$20,5,MATCH('İşçilik Parametreleri'!$B$26,{"Manuel","Robot","HTD","Lazer"},0))),SUM(Q33:U33)*INDEX('İşçilik Parametreleri'!$F$16:$I$20,MATCH(VALUE('İşçilik Parametreleri'!$B$27),'İşçilik Parametreleri'!$E$16:$E$20,0),MATCH('İşçilik Parametreleri'!$B$26,{"Manuel","Robot","HTD","Lazer"},0)))*'İşçilik Parametreleri'!$B$28/1000+O33*IF(OR('İşçilik Parametreleri'!$B$26="Robot",'İşçilik Parametreleri'!$B$26="HTD"),'İşçilik Parametreleri'!$B$30,'İşçilik Parametreleri'!$B$29))*'İşçilik Parametreleri'!$B$31</f>
        <v>8.4</v>
      </c>
      <c r="Z33" s="74">
        <f t="shared" si="1"/>
        <v>16.0305</v>
      </c>
      <c r="AA33" s="75" t="s">
        <v>86</v>
      </c>
      <c r="AB33" s="76">
        <v>10000</v>
      </c>
      <c r="AC33" s="77">
        <f>IF(AA33="Kataforez",N(AB33),IF(AA33="Yaş boya",'İşçilik Parametreleri'!$B$6/MAX(1,ROUND(IF(ISNUMBER(AB33),AB33,'İşçilik Parametreleri'!$B$7),0)),0))</f>
        <v>8.0000000000000002E-3</v>
      </c>
      <c r="AD33" s="78">
        <f>W33/100*'İşçilik Parametreleri'!$B$9+X33/100*'İşçilik Parametreleri'!$B$17+Y33/100*'İşçilik Parametreleri'!$B$25</f>
        <v>5.3434999999999997</v>
      </c>
      <c r="AE33" s="78">
        <f t="shared" si="2"/>
        <v>5.3514999999999997</v>
      </c>
      <c r="AF33" s="75">
        <v>95</v>
      </c>
      <c r="AG33" s="79">
        <f>AD33*AF33+IF(AA33="Kataforez",N(AB33)*AF33,IF(AA33="Yaş boya",ROUNDUP(AF33/MAX(1,ROUND(IF(ISNUMBER(AB33),AB33,'İşçilik Parametreleri'!$B$7),0)),0)*'İşçilik Parametreleri'!$B$6,0))</f>
        <v>587.63249999999994</v>
      </c>
      <c r="AH33" s="70">
        <f t="shared" si="3"/>
        <v>25.381625</v>
      </c>
    </row>
    <row r="34" spans="1:34" ht="15" customHeight="1" x14ac:dyDescent="0.25">
      <c r="A34" s="82" t="s">
        <v>470</v>
      </c>
      <c r="B34" s="68" t="s">
        <v>439</v>
      </c>
      <c r="C34" s="69" t="s">
        <v>147</v>
      </c>
      <c r="D34" s="68" t="s">
        <v>148</v>
      </c>
      <c r="E34" s="68" t="s">
        <v>447</v>
      </c>
      <c r="F34" s="68">
        <v>2</v>
      </c>
      <c r="G34" s="68">
        <v>3</v>
      </c>
      <c r="H34" s="68">
        <v>5</v>
      </c>
      <c r="I34" s="68">
        <v>5</v>
      </c>
      <c r="J34" s="68">
        <v>1</v>
      </c>
      <c r="K34" s="70">
        <v>7.766</v>
      </c>
      <c r="L34" s="70">
        <v>10.266</v>
      </c>
      <c r="M34" s="71">
        <f t="shared" si="0"/>
        <v>0.32191604429564769</v>
      </c>
      <c r="N34" s="68">
        <v>8</v>
      </c>
      <c r="O34" s="68">
        <v>8</v>
      </c>
      <c r="P34" s="68">
        <v>0</v>
      </c>
      <c r="Q34" s="72">
        <v>849</v>
      </c>
      <c r="R34" s="72">
        <v>0</v>
      </c>
      <c r="S34" s="72">
        <v>0</v>
      </c>
      <c r="T34" s="72">
        <v>0</v>
      </c>
      <c r="U34" s="72">
        <v>0</v>
      </c>
      <c r="V34" s="73">
        <f>SUM(Q34:U34)*'İşçilik Parametreleri'!$B$28/1000</f>
        <v>0.84899999999999998</v>
      </c>
      <c r="W34" s="70">
        <f>SUMIF('Büküm Parçaları'!$A$2:$A$213,A34,'Büküm Parçaları'!$I$2:$I$213)</f>
        <v>10.723750000000001</v>
      </c>
      <c r="X34" s="70">
        <f>(I34*'İşçilik Parametreleri'!$B$18+IF(L34&gt;'İşçilik Parametreleri'!$B$21,'İşçilik Parametreleri'!$B$20,'İşçilik Parametreleri'!$B$19)+N34*'İşçilik Parametreleri'!$B$22)*'İşçilik Parametreleri'!$B$23</f>
        <v>20.412499999999998</v>
      </c>
      <c r="Y34" s="70">
        <f>(IF('İşçilik Parametreleri'!$B$27="Resme göre",(Q34*INDEX('İşçilik Parametreleri'!$F$16:$I$20,1,MATCH('İşçilik Parametreleri'!$B$26,{"Manuel","Robot","HTD","Lazer"},0))+R34*INDEX('İşçilik Parametreleri'!$F$16:$I$20,2,MATCH('İşçilik Parametreleri'!$B$26,{"Manuel","Robot","HTD","Lazer"},0))+S34*INDEX('İşçilik Parametreleri'!$F$16:$I$20,3,MATCH('İşçilik Parametreleri'!$B$26,{"Manuel","Robot","HTD","Lazer"},0))+T34*INDEX('İşçilik Parametreleri'!$F$16:$I$20,4,MATCH('İşçilik Parametreleri'!$B$26,{"Manuel","Robot","HTD","Lazer"},0))+U34*INDEX('İşçilik Parametreleri'!$F$16:$I$20,5,MATCH('İşçilik Parametreleri'!$B$26,{"Manuel","Robot","HTD","Lazer"},0))),SUM(Q34:U34)*INDEX('İşçilik Parametreleri'!$F$16:$I$20,MATCH(VALUE('İşçilik Parametreleri'!$B$27),'İşçilik Parametreleri'!$E$16:$E$20,0),MATCH('İşçilik Parametreleri'!$B$26,{"Manuel","Robot","HTD","Lazer"},0)))*'İşçilik Parametreleri'!$B$28/1000+O34*IF(OR('İşçilik Parametreleri'!$B$26="Robot",'İşçilik Parametreleri'!$B$26="HTD"),'İşçilik Parametreleri'!$B$30,'İşçilik Parametreleri'!$B$29))*'İşçilik Parametreleri'!$B$31</f>
        <v>13.943</v>
      </c>
      <c r="Z34" s="74">
        <f t="shared" si="1"/>
        <v>27.047549999999998</v>
      </c>
      <c r="AA34" s="75" t="s">
        <v>86</v>
      </c>
      <c r="AB34" s="76">
        <v>10000</v>
      </c>
      <c r="AC34" s="77">
        <f>IF(AA34="Kataforez",N(AB34),IF(AA34="Yaş boya",'İşçilik Parametreleri'!$B$6/MAX(1,ROUND(IF(ISNUMBER(AB34),AB34,'İşçilik Parametreleri'!$B$7),0)),0))</f>
        <v>8.0000000000000002E-3</v>
      </c>
      <c r="AD34" s="78">
        <f>W34/100*'İşçilik Parametreleri'!$B$9+X34/100*'İşçilik Parametreleri'!$B$17+Y34/100*'İşçilik Parametreleri'!$B$25</f>
        <v>9.0158500000000004</v>
      </c>
      <c r="AE34" s="78">
        <f t="shared" si="2"/>
        <v>9.0238499999999995</v>
      </c>
      <c r="AF34" s="75">
        <v>56</v>
      </c>
      <c r="AG34" s="79">
        <f>AD34*AF34+IF(AA34="Kataforez",N(AB34)*AF34,IF(AA34="Yaş boya",ROUNDUP(AF34/MAX(1,ROUND(IF(ISNUMBER(AB34),AB34,'İşçilik Parametreleri'!$B$7),0)),0)*'İşçilik Parametreleri'!$B$6,0))</f>
        <v>584.88760000000002</v>
      </c>
      <c r="AH34" s="70">
        <f t="shared" si="3"/>
        <v>25.244379999999996</v>
      </c>
    </row>
    <row r="35" spans="1:34" ht="15" customHeight="1" x14ac:dyDescent="0.25">
      <c r="A35" s="82" t="s">
        <v>471</v>
      </c>
      <c r="B35" s="80" t="s">
        <v>23</v>
      </c>
      <c r="C35" s="81" t="s">
        <v>149</v>
      </c>
      <c r="D35" s="68" t="s">
        <v>107</v>
      </c>
      <c r="E35" s="68" t="s">
        <v>442</v>
      </c>
      <c r="F35" s="68">
        <v>1</v>
      </c>
      <c r="G35" s="68">
        <v>2</v>
      </c>
      <c r="H35" s="68">
        <v>3</v>
      </c>
      <c r="I35" s="68">
        <v>3</v>
      </c>
      <c r="J35" s="68">
        <v>4</v>
      </c>
      <c r="K35" s="70">
        <v>4.6310000000000002</v>
      </c>
      <c r="L35" s="70">
        <v>4.63</v>
      </c>
      <c r="M35" s="71">
        <f t="shared" si="0"/>
        <v>-2.1593608291952795E-4</v>
      </c>
      <c r="N35" s="68">
        <v>2</v>
      </c>
      <c r="O35" s="68">
        <v>2</v>
      </c>
      <c r="P35" s="68">
        <v>0</v>
      </c>
      <c r="Q35" s="72">
        <v>0</v>
      </c>
      <c r="R35" s="72">
        <v>0</v>
      </c>
      <c r="S35" s="72">
        <v>200</v>
      </c>
      <c r="T35" s="72">
        <v>0</v>
      </c>
      <c r="U35" s="72">
        <v>0</v>
      </c>
      <c r="V35" s="73">
        <f>SUM(Q35:U35)*'İşçilik Parametreleri'!$B$28/1000</f>
        <v>0.2</v>
      </c>
      <c r="W35" s="70">
        <f>SUMIF('Büküm Parçaları'!$A$2:$A$213,A35,'Büküm Parçaları'!$I$2:$I$213)</f>
        <v>13.11</v>
      </c>
      <c r="X35" s="70">
        <f>(I35*'İşçilik Parametreleri'!$B$18+IF(L35&gt;'İşçilik Parametreleri'!$B$21,'İşçilik Parametreleri'!$B$20,'İşçilik Parametreleri'!$B$19)+N35*'İşçilik Parametreleri'!$B$22)*'İşçilik Parametreleri'!$B$23</f>
        <v>10.4125</v>
      </c>
      <c r="Y35" s="70">
        <f>(IF('İşçilik Parametreleri'!$B$27="Resme göre",(Q35*INDEX('İşçilik Parametreleri'!$F$16:$I$20,1,MATCH('İşçilik Parametreleri'!$B$26,{"Manuel","Robot","HTD","Lazer"},0))+R35*INDEX('İşçilik Parametreleri'!$F$16:$I$20,2,MATCH('İşçilik Parametreleri'!$B$26,{"Manuel","Robot","HTD","Lazer"},0))+S35*INDEX('İşçilik Parametreleri'!$F$16:$I$20,3,MATCH('İşçilik Parametreleri'!$B$26,{"Manuel","Robot","HTD","Lazer"},0))+T35*INDEX('İşçilik Parametreleri'!$F$16:$I$20,4,MATCH('İşçilik Parametreleri'!$B$26,{"Manuel","Robot","HTD","Lazer"},0))+U35*INDEX('İşçilik Parametreleri'!$F$16:$I$20,5,MATCH('İşçilik Parametreleri'!$B$26,{"Manuel","Robot","HTD","Lazer"},0))),SUM(Q35:U35)*INDEX('İşçilik Parametreleri'!$F$16:$I$20,MATCH(VALUE('İşçilik Parametreleri'!$B$27),'İşçilik Parametreleri'!$E$16:$E$20,0),MATCH('İşçilik Parametreleri'!$B$26,{"Manuel","Robot","HTD","Lazer"},0)))*'İşçilik Parametreleri'!$B$28/1000+O35*IF(OR('İşçilik Parametreleri'!$B$26="Robot",'İşçilik Parametreleri'!$B$26="HTD"),'İşçilik Parametreleri'!$B$30,'İşçilik Parametreleri'!$B$29))*'İşçilik Parametreleri'!$B$31</f>
        <v>5.6</v>
      </c>
      <c r="Z35" s="74">
        <f t="shared" si="1"/>
        <v>17.473500000000001</v>
      </c>
      <c r="AA35" s="75" t="s">
        <v>86</v>
      </c>
      <c r="AB35" s="76">
        <v>10000</v>
      </c>
      <c r="AC35" s="77">
        <f>IF(AA35="Kataforez",N(AB35),IF(AA35="Yaş boya",'İşçilik Parametreleri'!$B$6/MAX(1,ROUND(IF(ISNUMBER(AB35),AB35,'İşçilik Parametreleri'!$B$7),0)),0))</f>
        <v>8.0000000000000002E-3</v>
      </c>
      <c r="AD35" s="78">
        <f>W35/100*'İşçilik Parametreleri'!$B$9+X35/100*'İşçilik Parametreleri'!$B$17+Y35/100*'İşçilik Parametreleri'!$B$25</f>
        <v>5.8244999999999996</v>
      </c>
      <c r="AE35" s="78">
        <f t="shared" si="2"/>
        <v>5.8324999999999996</v>
      </c>
      <c r="AF35" s="75">
        <v>86</v>
      </c>
      <c r="AG35" s="79">
        <f>AD35*AF35+IF(AA35="Kataforez",N(AB35)*AF35,IF(AA35="Yaş boya",ROUNDUP(AF35/MAX(1,ROUND(IF(ISNUMBER(AB35),AB35,'İşçilik Parametreleri'!$B$7),0)),0)*'İşçilik Parametreleri'!$B$6,0))</f>
        <v>580.90699999999993</v>
      </c>
      <c r="AH35" s="70">
        <f t="shared" si="3"/>
        <v>25.045350000000003</v>
      </c>
    </row>
    <row r="36" spans="1:34" ht="15" customHeight="1" x14ac:dyDescent="0.25">
      <c r="A36" s="82" t="s">
        <v>472</v>
      </c>
      <c r="B36" s="80" t="s">
        <v>23</v>
      </c>
      <c r="C36" s="81" t="s">
        <v>150</v>
      </c>
      <c r="D36" s="68" t="s">
        <v>151</v>
      </c>
      <c r="E36" s="68" t="s">
        <v>442</v>
      </c>
      <c r="F36" s="68">
        <v>1</v>
      </c>
      <c r="G36" s="68">
        <v>2</v>
      </c>
      <c r="H36" s="68">
        <v>4</v>
      </c>
      <c r="I36" s="68">
        <v>4</v>
      </c>
      <c r="J36" s="68">
        <v>0</v>
      </c>
      <c r="K36" s="70">
        <v>0.73499999999999999</v>
      </c>
      <c r="L36" s="70">
        <v>0.72099999999999997</v>
      </c>
      <c r="M36" s="71">
        <f t="shared" si="0"/>
        <v>-1.9047619047619063E-2</v>
      </c>
      <c r="N36" s="68">
        <v>4</v>
      </c>
      <c r="O36" s="68">
        <v>4</v>
      </c>
      <c r="P36" s="68">
        <v>0</v>
      </c>
      <c r="Q36" s="72">
        <v>0</v>
      </c>
      <c r="R36" s="72">
        <v>200</v>
      </c>
      <c r="S36" s="72">
        <v>0</v>
      </c>
      <c r="T36" s="72">
        <v>0</v>
      </c>
      <c r="U36" s="72">
        <v>0</v>
      </c>
      <c r="V36" s="73">
        <f>SUM(Q36:U36)*'İşçilik Parametreleri'!$B$28/1000</f>
        <v>0.2</v>
      </c>
      <c r="W36" s="70">
        <f>SUMIF('Büküm Parçaları'!$A$2:$A$213,A36,'Büküm Parçaları'!$I$2:$I$213)</f>
        <v>0</v>
      </c>
      <c r="X36" s="70">
        <f>(I36*'İşçilik Parametreleri'!$B$18+IF(L36&gt;'İşçilik Parametreleri'!$B$21,'İşçilik Parametreleri'!$B$20,'İşçilik Parametreleri'!$B$19)+N36*'İşçilik Parametreleri'!$B$22)*'İşçilik Parametreleri'!$B$23</f>
        <v>14.1625</v>
      </c>
      <c r="Y36" s="70">
        <f>(IF('İşçilik Parametreleri'!$B$27="Resme göre",(Q36*INDEX('İşçilik Parametreleri'!$F$16:$I$20,1,MATCH('İşçilik Parametreleri'!$B$26,{"Manuel","Robot","HTD","Lazer"},0))+R36*INDEX('İşçilik Parametreleri'!$F$16:$I$20,2,MATCH('İşçilik Parametreleri'!$B$26,{"Manuel","Robot","HTD","Lazer"},0))+S36*INDEX('İşçilik Parametreleri'!$F$16:$I$20,3,MATCH('İşçilik Parametreleri'!$B$26,{"Manuel","Robot","HTD","Lazer"},0))+T36*INDEX('İşçilik Parametreleri'!$F$16:$I$20,4,MATCH('İşçilik Parametreleri'!$B$26,{"Manuel","Robot","HTD","Lazer"},0))+U36*INDEX('İşçilik Parametreleri'!$F$16:$I$20,5,MATCH('İşçilik Parametreleri'!$B$26,{"Manuel","Robot","HTD","Lazer"},0))),SUM(Q36:U36)*INDEX('İşçilik Parametreleri'!$F$16:$I$20,MATCH(VALUE('İşçilik Parametreleri'!$B$27),'İşçilik Parametreleri'!$E$16:$E$20,0),MATCH('İşçilik Parametreleri'!$B$26,{"Manuel","Robot","HTD","Lazer"},0)))*'İşçilik Parametreleri'!$B$28/1000+O36*IF(OR('İşçilik Parametreleri'!$B$26="Robot",'İşçilik Parametreleri'!$B$26="HTD"),'İşçilik Parametreleri'!$B$30,'İşçilik Parametreleri'!$B$29))*'İşçilik Parametreleri'!$B$31</f>
        <v>6.2</v>
      </c>
      <c r="Z36" s="74">
        <f t="shared" si="1"/>
        <v>12.217499999999999</v>
      </c>
      <c r="AA36" s="75" t="s">
        <v>86</v>
      </c>
      <c r="AB36" s="76">
        <v>10000</v>
      </c>
      <c r="AC36" s="77">
        <f>IF(AA36="Kataforez",N(AB36),IF(AA36="Yaş boya",'İşçilik Parametreleri'!$B$6/MAX(1,ROUND(IF(ISNUMBER(AB36),AB36,'İşçilik Parametreleri'!$B$7),0)),0))</f>
        <v>8.0000000000000002E-3</v>
      </c>
      <c r="AD36" s="78">
        <f>W36/100*'İşçilik Parametreleri'!$B$9+X36/100*'İşçilik Parametreleri'!$B$17+Y36/100*'İşçilik Parametreleri'!$B$25</f>
        <v>4.0724999999999998</v>
      </c>
      <c r="AE36" s="78">
        <f t="shared" si="2"/>
        <v>4.0804999999999998</v>
      </c>
      <c r="AF36" s="75">
        <v>121</v>
      </c>
      <c r="AG36" s="79">
        <f>AD36*AF36+IF(AA36="Kataforez",N(AB36)*AF36,IF(AA36="Yaş boya",ROUNDUP(AF36/MAX(1,ROUND(IF(ISNUMBER(AB36),AB36,'İşçilik Parametreleri'!$B$7),0)),0)*'İşçilik Parametreleri'!$B$6,0))</f>
        <v>572.77250000000004</v>
      </c>
      <c r="AH36" s="70">
        <f t="shared" si="3"/>
        <v>24.638625000000001</v>
      </c>
    </row>
    <row r="37" spans="1:34" ht="15" customHeight="1" x14ac:dyDescent="0.25">
      <c r="A37" s="82" t="s">
        <v>473</v>
      </c>
      <c r="B37" s="80" t="s">
        <v>23</v>
      </c>
      <c r="C37" s="81" t="s">
        <v>152</v>
      </c>
      <c r="D37" s="68" t="s">
        <v>153</v>
      </c>
      <c r="E37" s="68" t="s">
        <v>442</v>
      </c>
      <c r="F37" s="68">
        <v>1</v>
      </c>
      <c r="G37" s="68">
        <v>2</v>
      </c>
      <c r="H37" s="68">
        <v>4</v>
      </c>
      <c r="I37" s="68">
        <v>4</v>
      </c>
      <c r="J37" s="68">
        <v>0</v>
      </c>
      <c r="K37" s="70">
        <v>0.72</v>
      </c>
      <c r="L37" s="70">
        <v>0.72099999999999997</v>
      </c>
      <c r="M37" s="71">
        <f t="shared" si="0"/>
        <v>1.3888888888888902E-3</v>
      </c>
      <c r="N37" s="68">
        <v>4</v>
      </c>
      <c r="O37" s="68">
        <v>4</v>
      </c>
      <c r="P37" s="68">
        <v>0</v>
      </c>
      <c r="Q37" s="72">
        <v>0</v>
      </c>
      <c r="R37" s="72">
        <v>200</v>
      </c>
      <c r="S37" s="72">
        <v>0</v>
      </c>
      <c r="T37" s="72">
        <v>0</v>
      </c>
      <c r="U37" s="72">
        <v>0</v>
      </c>
      <c r="V37" s="73">
        <f>SUM(Q37:U37)*'İşçilik Parametreleri'!$B$28/1000</f>
        <v>0.2</v>
      </c>
      <c r="W37" s="70">
        <f>SUMIF('Büküm Parçaları'!$A$2:$A$213,A37,'Büküm Parçaları'!$I$2:$I$213)</f>
        <v>0</v>
      </c>
      <c r="X37" s="70">
        <f>(I37*'İşçilik Parametreleri'!$B$18+IF(L37&gt;'İşçilik Parametreleri'!$B$21,'İşçilik Parametreleri'!$B$20,'İşçilik Parametreleri'!$B$19)+N37*'İşçilik Parametreleri'!$B$22)*'İşçilik Parametreleri'!$B$23</f>
        <v>14.1625</v>
      </c>
      <c r="Y37" s="70">
        <f>(IF('İşçilik Parametreleri'!$B$27="Resme göre",(Q37*INDEX('İşçilik Parametreleri'!$F$16:$I$20,1,MATCH('İşçilik Parametreleri'!$B$26,{"Manuel","Robot","HTD","Lazer"},0))+R37*INDEX('İşçilik Parametreleri'!$F$16:$I$20,2,MATCH('İşçilik Parametreleri'!$B$26,{"Manuel","Robot","HTD","Lazer"},0))+S37*INDEX('İşçilik Parametreleri'!$F$16:$I$20,3,MATCH('İşçilik Parametreleri'!$B$26,{"Manuel","Robot","HTD","Lazer"},0))+T37*INDEX('İşçilik Parametreleri'!$F$16:$I$20,4,MATCH('İşçilik Parametreleri'!$B$26,{"Manuel","Robot","HTD","Lazer"},0))+U37*INDEX('İşçilik Parametreleri'!$F$16:$I$20,5,MATCH('İşçilik Parametreleri'!$B$26,{"Manuel","Robot","HTD","Lazer"},0))),SUM(Q37:U37)*INDEX('İşçilik Parametreleri'!$F$16:$I$20,MATCH(VALUE('İşçilik Parametreleri'!$B$27),'İşçilik Parametreleri'!$E$16:$E$20,0),MATCH('İşçilik Parametreleri'!$B$26,{"Manuel","Robot","HTD","Lazer"},0)))*'İşçilik Parametreleri'!$B$28/1000+O37*IF(OR('İşçilik Parametreleri'!$B$26="Robot",'İşçilik Parametreleri'!$B$26="HTD"),'İşçilik Parametreleri'!$B$30,'İşçilik Parametreleri'!$B$29))*'İşçilik Parametreleri'!$B$31</f>
        <v>6.2</v>
      </c>
      <c r="Z37" s="74">
        <f t="shared" si="1"/>
        <v>12.217499999999999</v>
      </c>
      <c r="AA37" s="75" t="s">
        <v>86</v>
      </c>
      <c r="AB37" s="76">
        <v>10000</v>
      </c>
      <c r="AC37" s="77">
        <f>IF(AA37="Kataforez",N(AB37),IF(AA37="Yaş boya",'İşçilik Parametreleri'!$B$6/MAX(1,ROUND(IF(ISNUMBER(AB37),AB37,'İşçilik Parametreleri'!$B$7),0)),0))</f>
        <v>8.0000000000000002E-3</v>
      </c>
      <c r="AD37" s="78">
        <f>W37/100*'İşçilik Parametreleri'!$B$9+X37/100*'İşçilik Parametreleri'!$B$17+Y37/100*'İşçilik Parametreleri'!$B$25</f>
        <v>4.0724999999999998</v>
      </c>
      <c r="AE37" s="78">
        <f t="shared" si="2"/>
        <v>4.0804999999999998</v>
      </c>
      <c r="AF37" s="75">
        <v>121</v>
      </c>
      <c r="AG37" s="79">
        <f>AD37*AF37+IF(AA37="Kataforez",N(AB37)*AF37,IF(AA37="Yaş boya",ROUNDUP(AF37/MAX(1,ROUND(IF(ISNUMBER(AB37),AB37,'İşçilik Parametreleri'!$B$7),0)),0)*'İşçilik Parametreleri'!$B$6,0))</f>
        <v>572.77250000000004</v>
      </c>
      <c r="AH37" s="70">
        <f t="shared" si="3"/>
        <v>24.638625000000001</v>
      </c>
    </row>
    <row r="38" spans="1:34" ht="15" customHeight="1" x14ac:dyDescent="0.25">
      <c r="A38" s="82" t="s">
        <v>474</v>
      </c>
      <c r="B38" s="83" t="s">
        <v>23</v>
      </c>
      <c r="C38" s="81" t="s">
        <v>154</v>
      </c>
      <c r="D38" s="68" t="s">
        <v>119</v>
      </c>
      <c r="E38" s="68" t="s">
        <v>442</v>
      </c>
      <c r="F38" s="68">
        <v>1</v>
      </c>
      <c r="G38" s="68">
        <v>2</v>
      </c>
      <c r="H38" s="68">
        <v>2</v>
      </c>
      <c r="I38" s="68">
        <v>2</v>
      </c>
      <c r="J38" s="68">
        <v>1</v>
      </c>
      <c r="K38" s="70">
        <v>1.32</v>
      </c>
      <c r="L38" s="70">
        <v>1.3029999999999999</v>
      </c>
      <c r="M38" s="71">
        <f t="shared" ref="M38:M69" si="4">IF(ISNUMBER(K38),(L38-K38)/K38,"")</f>
        <v>-1.2878787878787974E-2</v>
      </c>
      <c r="N38" s="68">
        <v>3</v>
      </c>
      <c r="O38" s="68">
        <v>3</v>
      </c>
      <c r="P38" s="68">
        <v>0</v>
      </c>
      <c r="Q38" s="72">
        <v>0</v>
      </c>
      <c r="R38" s="72">
        <v>0</v>
      </c>
      <c r="S38" s="72">
        <v>150</v>
      </c>
      <c r="T38" s="72">
        <v>0</v>
      </c>
      <c r="U38" s="72">
        <v>0</v>
      </c>
      <c r="V38" s="73">
        <f>SUM(Q38:U38)*'İşçilik Parametreleri'!$B$28/1000</f>
        <v>0.15</v>
      </c>
      <c r="W38" s="70">
        <f>SUMIF('Büküm Parçaları'!$A$2:$A$213,A38,'Büküm Parçaları'!$I$2:$I$213)</f>
        <v>5.4049999999999994</v>
      </c>
      <c r="X38" s="70">
        <f>(I38*'İşçilik Parametreleri'!$B$18+IF(L38&gt;'İşçilik Parametreleri'!$B$21,'İşçilik Parametreleri'!$B$20,'İşçilik Parametreleri'!$B$19)+N38*'İşçilik Parametreleri'!$B$22)*'İşçilik Parametreleri'!$B$23</f>
        <v>10.4125</v>
      </c>
      <c r="Y38" s="70">
        <f>(IF('İşçilik Parametreleri'!$B$27="Resme göre",(Q38*INDEX('İşçilik Parametreleri'!$F$16:$I$20,1,MATCH('İşçilik Parametreleri'!$B$26,{"Manuel","Robot","HTD","Lazer"},0))+R38*INDEX('İşçilik Parametreleri'!$F$16:$I$20,2,MATCH('İşçilik Parametreleri'!$B$26,{"Manuel","Robot","HTD","Lazer"},0))+S38*INDEX('İşçilik Parametreleri'!$F$16:$I$20,3,MATCH('İşçilik Parametreleri'!$B$26,{"Manuel","Robot","HTD","Lazer"},0))+T38*INDEX('İşçilik Parametreleri'!$F$16:$I$20,4,MATCH('İşçilik Parametreleri'!$B$26,{"Manuel","Robot","HTD","Lazer"},0))+U38*INDEX('İşçilik Parametreleri'!$F$16:$I$20,5,MATCH('İşçilik Parametreleri'!$B$26,{"Manuel","Robot","HTD","Lazer"},0))),SUM(Q38:U38)*INDEX('İşçilik Parametreleri'!$F$16:$I$20,MATCH(VALUE('İşçilik Parametreleri'!$B$27),'İşçilik Parametreleri'!$E$16:$E$20,0),MATCH('İşçilik Parametreleri'!$B$26,{"Manuel","Robot","HTD","Lazer"},0)))*'İşçilik Parametreleri'!$B$28/1000+O38*IF(OR('İşçilik Parametreleri'!$B$26="Robot",'İşçilik Parametreleri'!$B$26="HTD"),'İşçilik Parametreleri'!$B$30,'İşçilik Parametreleri'!$B$29))*'İşçilik Parametreleri'!$B$31</f>
        <v>5.7</v>
      </c>
      <c r="Z38" s="74">
        <f t="shared" ref="Z38:Z69" si="5">(W38+X38+Y38)*0.6</f>
        <v>12.910499999999999</v>
      </c>
      <c r="AA38" s="75" t="s">
        <v>86</v>
      </c>
      <c r="AB38" s="76">
        <v>10000</v>
      </c>
      <c r="AC38" s="77">
        <f>IF(AA38="Kataforez",N(AB38),IF(AA38="Yaş boya",'İşçilik Parametreleri'!$B$6/MAX(1,ROUND(IF(ISNUMBER(AB38),AB38,'İşçilik Parametreleri'!$B$7),0)),0))</f>
        <v>8.0000000000000002E-3</v>
      </c>
      <c r="AD38" s="78">
        <f>W38/100*'İşçilik Parametreleri'!$B$9+X38/100*'İşçilik Parametreleri'!$B$17+Y38/100*'İşçilik Parametreleri'!$B$25</f>
        <v>4.3034999999999997</v>
      </c>
      <c r="AE38" s="78">
        <f t="shared" ref="AE38:AE69" si="6">AD38+AC38</f>
        <v>4.3114999999999997</v>
      </c>
      <c r="AF38" s="75">
        <v>114</v>
      </c>
      <c r="AG38" s="79">
        <f>AD38*AF38+IF(AA38="Kataforez",N(AB38)*AF38,IF(AA38="Yaş boya",ROUNDUP(AF38/MAX(1,ROUND(IF(ISNUMBER(AB38),AB38,'İşçilik Parametreleri'!$B$7),0)),0)*'İşçilik Parametreleri'!$B$6,0))</f>
        <v>570.59899999999993</v>
      </c>
      <c r="AH38" s="70">
        <f t="shared" ref="AH38:AH69" si="7">(W38+X38+Y38)*AF38/100</f>
        <v>24.529949999999999</v>
      </c>
    </row>
    <row r="39" spans="1:34" ht="15" customHeight="1" x14ac:dyDescent="0.25">
      <c r="A39" s="82" t="s">
        <v>475</v>
      </c>
      <c r="B39" s="80" t="s">
        <v>23</v>
      </c>
      <c r="C39" s="81" t="s">
        <v>155</v>
      </c>
      <c r="D39" s="68" t="s">
        <v>156</v>
      </c>
      <c r="E39" s="68" t="s">
        <v>442</v>
      </c>
      <c r="F39" s="68">
        <v>1</v>
      </c>
      <c r="G39" s="68">
        <v>2</v>
      </c>
      <c r="H39" s="68">
        <v>3</v>
      </c>
      <c r="I39" s="68">
        <v>3</v>
      </c>
      <c r="J39" s="68">
        <v>0</v>
      </c>
      <c r="K39" s="70">
        <v>1.802</v>
      </c>
      <c r="L39" s="70">
        <v>1.7629999999999999</v>
      </c>
      <c r="M39" s="71">
        <f t="shared" si="4"/>
        <v>-2.1642619311875774E-2</v>
      </c>
      <c r="N39" s="68">
        <v>4</v>
      </c>
      <c r="O39" s="68">
        <v>4</v>
      </c>
      <c r="P39" s="68">
        <v>0</v>
      </c>
      <c r="Q39" s="72">
        <v>0</v>
      </c>
      <c r="R39" s="72">
        <v>0</v>
      </c>
      <c r="S39" s="72">
        <v>0</v>
      </c>
      <c r="T39" s="72">
        <v>0</v>
      </c>
      <c r="U39" s="72">
        <v>200</v>
      </c>
      <c r="V39" s="73">
        <f>SUM(Q39:U39)*'İşçilik Parametreleri'!$B$28/1000</f>
        <v>0.2</v>
      </c>
      <c r="W39" s="70">
        <f>SUMIF('Büküm Parçaları'!$A$2:$A$213,A39,'Büküm Parçaları'!$I$2:$I$213)</f>
        <v>0</v>
      </c>
      <c r="X39" s="70">
        <f>(I39*'İşçilik Parametreleri'!$B$18+IF(L39&gt;'İşçilik Parametreleri'!$B$21,'İşçilik Parametreleri'!$B$20,'İşçilik Parametreleri'!$B$19)+N39*'İşçilik Parametreleri'!$B$22)*'İşçilik Parametreleri'!$B$23</f>
        <v>12.9125</v>
      </c>
      <c r="Y39" s="70">
        <f>(IF('İşçilik Parametreleri'!$B$27="Resme göre",(Q39*INDEX('İşçilik Parametreleri'!$F$16:$I$20,1,MATCH('İşçilik Parametreleri'!$B$26,{"Manuel","Robot","HTD","Lazer"},0))+R39*INDEX('İşçilik Parametreleri'!$F$16:$I$20,2,MATCH('İşçilik Parametreleri'!$B$26,{"Manuel","Robot","HTD","Lazer"},0))+S39*INDEX('İşçilik Parametreleri'!$F$16:$I$20,3,MATCH('İşçilik Parametreleri'!$B$26,{"Manuel","Robot","HTD","Lazer"},0))+T39*INDEX('İşçilik Parametreleri'!$F$16:$I$20,4,MATCH('İşçilik Parametreleri'!$B$26,{"Manuel","Robot","HTD","Lazer"},0))+U39*INDEX('İşçilik Parametreleri'!$F$16:$I$20,5,MATCH('İşçilik Parametreleri'!$B$26,{"Manuel","Robot","HTD","Lazer"},0))),SUM(Q39:U39)*INDEX('İşçilik Parametreleri'!$F$16:$I$20,MATCH(VALUE('İşçilik Parametreleri'!$B$27),'İşçilik Parametreleri'!$E$16:$E$20,0),MATCH('İşçilik Parametreleri'!$B$26,{"Manuel","Robot","HTD","Lazer"},0)))*'İşçilik Parametreleri'!$B$28/1000+O39*IF(OR('İşçilik Parametreleri'!$B$26="Robot",'İşçilik Parametreleri'!$B$26="HTD"),'İşçilik Parametreleri'!$B$30,'İşçilik Parametreleri'!$B$29))*'İşçilik Parametreleri'!$B$31</f>
        <v>10.199999999999999</v>
      </c>
      <c r="Z39" s="74">
        <f t="shared" si="5"/>
        <v>13.867499999999998</v>
      </c>
      <c r="AA39" s="75" t="s">
        <v>86</v>
      </c>
      <c r="AB39" s="76">
        <v>10000</v>
      </c>
      <c r="AC39" s="77">
        <f>IF(AA39="Kataforez",N(AB39),IF(AA39="Yaş boya",'İşçilik Parametreleri'!$B$6/MAX(1,ROUND(IF(ISNUMBER(AB39),AB39,'İşçilik Parametreleri'!$B$7),0)),0))</f>
        <v>8.0000000000000002E-3</v>
      </c>
      <c r="AD39" s="78">
        <f>W39/100*'İşçilik Parametreleri'!$B$9+X39/100*'İşçilik Parametreleri'!$B$17+Y39/100*'İşçilik Parametreleri'!$B$25</f>
        <v>4.6224999999999996</v>
      </c>
      <c r="AE39" s="78">
        <f t="shared" si="6"/>
        <v>4.6304999999999996</v>
      </c>
      <c r="AF39" s="75">
        <v>106</v>
      </c>
      <c r="AG39" s="79">
        <f>AD39*AF39+IF(AA39="Kataforez",N(AB39)*AF39,IF(AA39="Yaş boya",ROUNDUP(AF39/MAX(1,ROUND(IF(ISNUMBER(AB39),AB39,'İşçilik Parametreleri'!$B$7),0)),0)*'İşçilik Parametreleri'!$B$6,0))</f>
        <v>569.9849999999999</v>
      </c>
      <c r="AH39" s="70">
        <f t="shared" si="7"/>
        <v>24.499249999999996</v>
      </c>
    </row>
    <row r="40" spans="1:34" ht="15" customHeight="1" x14ac:dyDescent="0.25">
      <c r="A40" s="82" t="s">
        <v>476</v>
      </c>
      <c r="B40" s="80" t="s">
        <v>23</v>
      </c>
      <c r="C40" s="81" t="s">
        <v>157</v>
      </c>
      <c r="D40" s="68" t="s">
        <v>148</v>
      </c>
      <c r="E40" s="68" t="s">
        <v>447</v>
      </c>
      <c r="F40" s="68">
        <v>2</v>
      </c>
      <c r="G40" s="68">
        <v>2</v>
      </c>
      <c r="H40" s="68">
        <v>3</v>
      </c>
      <c r="I40" s="68">
        <v>3</v>
      </c>
      <c r="J40" s="68">
        <v>2</v>
      </c>
      <c r="K40" s="70">
        <v>0.35699999999999998</v>
      </c>
      <c r="L40" s="70">
        <v>0.45300000000000001</v>
      </c>
      <c r="M40" s="71">
        <f t="shared" si="4"/>
        <v>0.26890756302521018</v>
      </c>
      <c r="N40" s="68">
        <v>2</v>
      </c>
      <c r="O40" s="68">
        <v>2</v>
      </c>
      <c r="P40" s="68">
        <v>0</v>
      </c>
      <c r="Q40" s="72">
        <v>300</v>
      </c>
      <c r="R40" s="72">
        <v>0</v>
      </c>
      <c r="S40" s="72">
        <v>0</v>
      </c>
      <c r="T40" s="72">
        <v>0</v>
      </c>
      <c r="U40" s="72">
        <v>0</v>
      </c>
      <c r="V40" s="73">
        <f>SUM(Q40:U40)*'İşçilik Parametreleri'!$B$28/1000</f>
        <v>0.3</v>
      </c>
      <c r="W40" s="70">
        <f>SUMIF('Büküm Parçaları'!$A$2:$A$213,A40,'Büküm Parçaları'!$I$2:$I$213)</f>
        <v>6.5549999999999997</v>
      </c>
      <c r="X40" s="70">
        <f>(I40*'İşçilik Parametreleri'!$B$18+IF(L40&gt;'İşçilik Parametreleri'!$B$21,'İşçilik Parametreleri'!$B$20,'İşçilik Parametreleri'!$B$19)+N40*'İşçilik Parametreleri'!$B$22)*'İşçilik Parametreleri'!$B$23</f>
        <v>10.4125</v>
      </c>
      <c r="Y40" s="70">
        <f>(IF('İşçilik Parametreleri'!$B$27="Resme göre",(Q40*INDEX('İşçilik Parametreleri'!$F$16:$I$20,1,MATCH('İşçilik Parametreleri'!$B$26,{"Manuel","Robot","HTD","Lazer"},0))+R40*INDEX('İşçilik Parametreleri'!$F$16:$I$20,2,MATCH('İşçilik Parametreleri'!$B$26,{"Manuel","Robot","HTD","Lazer"},0))+S40*INDEX('İşçilik Parametreleri'!$F$16:$I$20,3,MATCH('İşçilik Parametreleri'!$B$26,{"Manuel","Robot","HTD","Lazer"},0))+T40*INDEX('İşçilik Parametreleri'!$F$16:$I$20,4,MATCH('İşçilik Parametreleri'!$B$26,{"Manuel","Robot","HTD","Lazer"},0))+U40*INDEX('İşçilik Parametreleri'!$F$16:$I$20,5,MATCH('İşçilik Parametreleri'!$B$26,{"Manuel","Robot","HTD","Lazer"},0))),SUM(Q40:U40)*INDEX('İşçilik Parametreleri'!$F$16:$I$20,MATCH(VALUE('İşçilik Parametreleri'!$B$27),'İşçilik Parametreleri'!$E$16:$E$20,0),MATCH('İşçilik Parametreleri'!$B$26,{"Manuel","Robot","HTD","Lazer"},0)))*'İşçilik Parametreleri'!$B$28/1000+O40*IF(OR('İşçilik Parametreleri'!$B$26="Robot",'İşçilik Parametreleri'!$B$26="HTD"),'İşçilik Parametreleri'!$B$30,'İşçilik Parametreleri'!$B$29))*'İşçilik Parametreleri'!$B$31</f>
        <v>4.0999999999999996</v>
      </c>
      <c r="Z40" s="74">
        <f t="shared" si="5"/>
        <v>12.640500000000001</v>
      </c>
      <c r="AA40" s="75" t="s">
        <v>86</v>
      </c>
      <c r="AB40" s="76">
        <v>10000</v>
      </c>
      <c r="AC40" s="77">
        <f>IF(AA40="Kataforez",N(AB40),IF(AA40="Yaş boya",'İşçilik Parametreleri'!$B$6/MAX(1,ROUND(IF(ISNUMBER(AB40),AB40,'İşçilik Parametreleri'!$B$7),0)),0))</f>
        <v>8.0000000000000002E-3</v>
      </c>
      <c r="AD40" s="78">
        <f>W40/100*'İşçilik Parametreleri'!$B$9+X40/100*'İşçilik Parametreleri'!$B$17+Y40/100*'İşçilik Parametreleri'!$B$25</f>
        <v>4.2134999999999998</v>
      </c>
      <c r="AE40" s="78">
        <f t="shared" si="6"/>
        <v>4.2214999999999998</v>
      </c>
      <c r="AF40" s="75">
        <v>112</v>
      </c>
      <c r="AG40" s="79">
        <f>AD40*AF40+IF(AA40="Kataforez",N(AB40)*AF40,IF(AA40="Yaş boya",ROUNDUP(AF40/MAX(1,ROUND(IF(ISNUMBER(AB40),AB40,'İşçilik Parametreleri'!$B$7),0)),0)*'İşçilik Parametreleri'!$B$6,0))</f>
        <v>551.91200000000003</v>
      </c>
      <c r="AH40" s="70">
        <f t="shared" si="7"/>
        <v>23.595600000000005</v>
      </c>
    </row>
    <row r="41" spans="1:34" ht="15" customHeight="1" x14ac:dyDescent="0.25">
      <c r="A41" s="67" t="s">
        <v>477</v>
      </c>
      <c r="B41" s="68" t="s">
        <v>439</v>
      </c>
      <c r="C41" s="69" t="s">
        <v>158</v>
      </c>
      <c r="D41" s="68" t="s">
        <v>148</v>
      </c>
      <c r="E41" s="68" t="s">
        <v>478</v>
      </c>
      <c r="F41" s="68">
        <v>1</v>
      </c>
      <c r="G41" s="68">
        <v>3</v>
      </c>
      <c r="H41" s="68">
        <v>5</v>
      </c>
      <c r="I41" s="68">
        <v>5</v>
      </c>
      <c r="J41" s="68">
        <v>2</v>
      </c>
      <c r="K41" s="70">
        <v>18.719000000000001</v>
      </c>
      <c r="L41" s="70">
        <v>18.774000000000001</v>
      </c>
      <c r="M41" s="71">
        <f t="shared" si="4"/>
        <v>2.9381911426892308E-3</v>
      </c>
      <c r="N41" s="68">
        <v>4</v>
      </c>
      <c r="O41" s="68">
        <v>4</v>
      </c>
      <c r="P41" s="68">
        <v>0</v>
      </c>
      <c r="Q41" s="72">
        <v>1014</v>
      </c>
      <c r="R41" s="72">
        <v>0</v>
      </c>
      <c r="S41" s="72">
        <v>0</v>
      </c>
      <c r="T41" s="72">
        <v>0</v>
      </c>
      <c r="U41" s="72">
        <v>0</v>
      </c>
      <c r="V41" s="73">
        <f>SUM(Q41:U41)*'İşçilik Parametreleri'!$B$28/1000</f>
        <v>1.014</v>
      </c>
      <c r="W41" s="70">
        <f>SUMIF('Büküm Parçaları'!$A$2:$A$213,A41,'Büküm Parçaları'!$I$2:$I$213)</f>
        <v>11.873750000000001</v>
      </c>
      <c r="X41" s="70">
        <f>(I41*'İşçilik Parametreleri'!$B$18+IF(L41&gt;'İşçilik Parametreleri'!$B$21,'İşçilik Parametreleri'!$B$20,'İşçilik Parametreleri'!$B$19)+N41*'İşçilik Parametreleri'!$B$22)*'İşçilik Parametreleri'!$B$23</f>
        <v>15.4125</v>
      </c>
      <c r="Y41" s="70">
        <f>(IF('İşçilik Parametreleri'!$B$27="Resme göre",(Q41*INDEX('İşçilik Parametreleri'!$F$16:$I$20,1,MATCH('İşçilik Parametreleri'!$B$26,{"Manuel","Robot","HTD","Lazer"},0))+R41*INDEX('İşçilik Parametreleri'!$F$16:$I$20,2,MATCH('İşçilik Parametreleri'!$B$26,{"Manuel","Robot","HTD","Lazer"},0))+S41*INDEX('İşçilik Parametreleri'!$F$16:$I$20,3,MATCH('İşçilik Parametreleri'!$B$26,{"Manuel","Robot","HTD","Lazer"},0))+T41*INDEX('İşçilik Parametreleri'!$F$16:$I$20,4,MATCH('İşçilik Parametreleri'!$B$26,{"Manuel","Robot","HTD","Lazer"},0))+U41*INDEX('İşçilik Parametreleri'!$F$16:$I$20,5,MATCH('İşçilik Parametreleri'!$B$26,{"Manuel","Robot","HTD","Lazer"},0))),SUM(Q41:U41)*INDEX('İşçilik Parametreleri'!$F$16:$I$20,MATCH(VALUE('İşçilik Parametreleri'!$B$27),'İşçilik Parametreleri'!$E$16:$E$20,0),MATCH('İşçilik Parametreleri'!$B$26,{"Manuel","Robot","HTD","Lazer"},0)))*'İşçilik Parametreleri'!$B$28/1000+O41*IF(OR('İşçilik Parametreleri'!$B$26="Robot",'İşçilik Parametreleri'!$B$26="HTD"),'İşçilik Parametreleri'!$B$30,'İşçilik Parametreleri'!$B$29))*'İşçilik Parametreleri'!$B$31</f>
        <v>11.097999999999999</v>
      </c>
      <c r="Z41" s="74">
        <f t="shared" si="5"/>
        <v>23.030550000000002</v>
      </c>
      <c r="AA41" s="75" t="s">
        <v>86</v>
      </c>
      <c r="AB41" s="76">
        <v>10000</v>
      </c>
      <c r="AC41" s="77">
        <f>IF(AA41="Kataforez",N(AB41),IF(AA41="Yaş boya",'İşçilik Parametreleri'!$B$6/MAX(1,ROUND(IF(ISNUMBER(AB41),AB41,'İşçilik Parametreleri'!$B$7),0)),0))</f>
        <v>8.0000000000000002E-3</v>
      </c>
      <c r="AD41" s="78">
        <f>W41/100*'İşçilik Parametreleri'!$B$9+X41/100*'İşçilik Parametreleri'!$B$17+Y41/100*'İşçilik Parametreleri'!$B$25</f>
        <v>7.67685</v>
      </c>
      <c r="AE41" s="78">
        <f t="shared" si="6"/>
        <v>7.68485</v>
      </c>
      <c r="AF41" s="75">
        <v>61</v>
      </c>
      <c r="AG41" s="79">
        <f>AD41*AF41+IF(AA41="Kataforez",N(AB41)*AF41,IF(AA41="Yaş boya",ROUNDUP(AF41/MAX(1,ROUND(IF(ISNUMBER(AB41),AB41,'İşçilik Parametreleri'!$B$7),0)),0)*'İşçilik Parametreleri'!$B$6,0))</f>
        <v>548.28784999999993</v>
      </c>
      <c r="AH41" s="70">
        <f t="shared" si="7"/>
        <v>23.414392499999998</v>
      </c>
    </row>
    <row r="42" spans="1:34" ht="15" customHeight="1" x14ac:dyDescent="0.25">
      <c r="A42" s="82" t="s">
        <v>479</v>
      </c>
      <c r="B42" s="68" t="s">
        <v>439</v>
      </c>
      <c r="C42" s="69" t="s">
        <v>159</v>
      </c>
      <c r="D42" s="68" t="s">
        <v>110</v>
      </c>
      <c r="E42" s="68" t="s">
        <v>447</v>
      </c>
      <c r="F42" s="68">
        <v>1</v>
      </c>
      <c r="G42" s="68">
        <v>1</v>
      </c>
      <c r="H42" s="68">
        <v>4</v>
      </c>
      <c r="I42" s="68">
        <v>4</v>
      </c>
      <c r="J42" s="68">
        <v>2</v>
      </c>
      <c r="K42" s="70">
        <v>10.882</v>
      </c>
      <c r="L42" s="70">
        <v>8.7010000000000005</v>
      </c>
      <c r="M42" s="71">
        <f t="shared" si="4"/>
        <v>-0.20042271641242412</v>
      </c>
      <c r="N42" s="68">
        <v>3</v>
      </c>
      <c r="O42" s="68">
        <v>3</v>
      </c>
      <c r="P42" s="68">
        <v>0</v>
      </c>
      <c r="Q42" s="72">
        <v>0</v>
      </c>
      <c r="R42" s="72">
        <v>1107</v>
      </c>
      <c r="S42" s="72">
        <v>0</v>
      </c>
      <c r="T42" s="72">
        <v>0</v>
      </c>
      <c r="U42" s="72">
        <v>0</v>
      </c>
      <c r="V42" s="73">
        <f>SUM(Q42:U42)*'İşçilik Parametreleri'!$B$28/1000</f>
        <v>1.107</v>
      </c>
      <c r="W42" s="70">
        <f>SUMIF('Büküm Parçaları'!$A$2:$A$213,A42,'Büküm Parçaları'!$I$2:$I$213)</f>
        <v>11.873750000000001</v>
      </c>
      <c r="X42" s="70">
        <f>(I42*'İşçilik Parametreleri'!$B$18+IF(L42&gt;'İşçilik Parametreleri'!$B$21,'İşçilik Parametreleri'!$B$20,'İşçilik Parametreleri'!$B$19)+N42*'İşçilik Parametreleri'!$B$22)*'İşçilik Parametreleri'!$B$23</f>
        <v>12.9125</v>
      </c>
      <c r="Y42" s="70">
        <f>(IF('İşçilik Parametreleri'!$B$27="Resme göre",(Q42*INDEX('İşçilik Parametreleri'!$F$16:$I$20,1,MATCH('İşçilik Parametreleri'!$B$26,{"Manuel","Robot","HTD","Lazer"},0))+R42*INDEX('İşçilik Parametreleri'!$F$16:$I$20,2,MATCH('İşçilik Parametreleri'!$B$26,{"Manuel","Robot","HTD","Lazer"},0))+S42*INDEX('İşçilik Parametreleri'!$F$16:$I$20,3,MATCH('İşçilik Parametreleri'!$B$26,{"Manuel","Robot","HTD","Lazer"},0))+T42*INDEX('İşçilik Parametreleri'!$F$16:$I$20,4,MATCH('İşçilik Parametreleri'!$B$26,{"Manuel","Robot","HTD","Lazer"},0))+U42*INDEX('İşçilik Parametreleri'!$F$16:$I$20,5,MATCH('İşçilik Parametreleri'!$B$26,{"Manuel","Robot","HTD","Lazer"},0))),SUM(Q42:U42)*INDEX('İşçilik Parametreleri'!$F$16:$I$20,MATCH(VALUE('İşçilik Parametreleri'!$B$27),'İşçilik Parametreleri'!$E$16:$E$20,0),MATCH('İşçilik Parametreleri'!$B$26,{"Manuel","Robot","HTD","Lazer"},0)))*'İşçilik Parametreleri'!$B$28/1000+O42*IF(OR('İşçilik Parametreleri'!$B$26="Robot",'İşçilik Parametreleri'!$B$26="HTD"),'İşçilik Parametreleri'!$B$30,'İşçilik Parametreleri'!$B$29))*'İşçilik Parametreleri'!$B$31</f>
        <v>15.177</v>
      </c>
      <c r="Z42" s="74">
        <f t="shared" si="5"/>
        <v>23.97795</v>
      </c>
      <c r="AA42" s="75" t="s">
        <v>86</v>
      </c>
      <c r="AB42" s="76">
        <v>10000</v>
      </c>
      <c r="AC42" s="77">
        <f>IF(AA42="Kataforez",N(AB42),IF(AA42="Yaş boya",'İşçilik Parametreleri'!$B$6/MAX(1,ROUND(IF(ISNUMBER(AB42),AB42,'İşçilik Parametreleri'!$B$7),0)),0))</f>
        <v>8.0000000000000002E-3</v>
      </c>
      <c r="AD42" s="78">
        <f>W42/100*'İşçilik Parametreleri'!$B$9+X42/100*'İşçilik Parametreleri'!$B$17+Y42/100*'İşçilik Parametreleri'!$B$25</f>
        <v>7.9926499999999994</v>
      </c>
      <c r="AE42" s="78">
        <f t="shared" si="6"/>
        <v>8.0006499999999985</v>
      </c>
      <c r="AF42" s="75">
        <v>55</v>
      </c>
      <c r="AG42" s="79">
        <f>AD42*AF42+IF(AA42="Kataforez",N(AB42)*AF42,IF(AA42="Yaş boya",ROUNDUP(AF42/MAX(1,ROUND(IF(ISNUMBER(AB42),AB42,'İşçilik Parametreleri'!$B$7),0)),0)*'İşçilik Parametreleri'!$B$6,0))</f>
        <v>519.59574999999995</v>
      </c>
      <c r="AH42" s="70">
        <f t="shared" si="7"/>
        <v>21.9797875</v>
      </c>
    </row>
    <row r="43" spans="1:34" ht="15" customHeight="1" x14ac:dyDescent="0.25">
      <c r="A43" s="82" t="s">
        <v>480</v>
      </c>
      <c r="B43" s="80" t="s">
        <v>23</v>
      </c>
      <c r="C43" s="81" t="s">
        <v>160</v>
      </c>
      <c r="D43" s="68" t="s">
        <v>99</v>
      </c>
      <c r="E43" s="68" t="s">
        <v>130</v>
      </c>
      <c r="F43" s="68">
        <v>0</v>
      </c>
      <c r="G43" s="68">
        <v>2</v>
      </c>
      <c r="H43" s="68">
        <v>4</v>
      </c>
      <c r="I43" s="68">
        <v>4</v>
      </c>
      <c r="J43" s="68">
        <v>3</v>
      </c>
      <c r="K43" s="70">
        <v>2.722</v>
      </c>
      <c r="L43" s="70">
        <v>2.7210000000000001</v>
      </c>
      <c r="M43" s="71">
        <f t="shared" si="4"/>
        <v>-3.6737692872883536E-4</v>
      </c>
      <c r="N43" s="68">
        <v>4</v>
      </c>
      <c r="O43" s="68">
        <v>2</v>
      </c>
      <c r="P43" s="68">
        <v>2</v>
      </c>
      <c r="Q43" s="72">
        <v>900</v>
      </c>
      <c r="R43" s="72">
        <v>0</v>
      </c>
      <c r="S43" s="72">
        <v>0</v>
      </c>
      <c r="T43" s="72">
        <v>0</v>
      </c>
      <c r="U43" s="72">
        <v>0</v>
      </c>
      <c r="V43" s="73">
        <f>SUM(Q43:U43)*'İşçilik Parametreleri'!$B$28/1000</f>
        <v>0.9</v>
      </c>
      <c r="W43" s="70">
        <f>SUMIF('Büküm Parçaları'!$A$2:$A$213,A43,'Büküm Parçaları'!$I$2:$I$213)</f>
        <v>7.7049999999999992</v>
      </c>
      <c r="X43" s="70">
        <f>(I43*'İşçilik Parametreleri'!$B$18+IF(L43&gt;'İşçilik Parametreleri'!$B$21,'İşçilik Parametreleri'!$B$20,'İşçilik Parametreleri'!$B$19)+N43*'İşçilik Parametreleri'!$B$22)*'İşçilik Parametreleri'!$B$23</f>
        <v>14.1625</v>
      </c>
      <c r="Y43" s="70">
        <f>(IF('İşçilik Parametreleri'!$B$27="Resme göre",(Q43*INDEX('İşçilik Parametreleri'!$F$16:$I$20,1,MATCH('İşçilik Parametreleri'!$B$26,{"Manuel","Robot","HTD","Lazer"},0))+R43*INDEX('İşçilik Parametreleri'!$F$16:$I$20,2,MATCH('İşçilik Parametreleri'!$B$26,{"Manuel","Robot","HTD","Lazer"},0))+S43*INDEX('İşçilik Parametreleri'!$F$16:$I$20,3,MATCH('İşçilik Parametreleri'!$B$26,{"Manuel","Robot","HTD","Lazer"},0))+T43*INDEX('İşçilik Parametreleri'!$F$16:$I$20,4,MATCH('İşçilik Parametreleri'!$B$26,{"Manuel","Robot","HTD","Lazer"},0))+U43*INDEX('İşçilik Parametreleri'!$F$16:$I$20,5,MATCH('İşçilik Parametreleri'!$B$26,{"Manuel","Robot","HTD","Lazer"},0))),SUM(Q43:U43)*INDEX('İşçilik Parametreleri'!$F$16:$I$20,MATCH(VALUE('İşçilik Parametreleri'!$B$27),'İşçilik Parametreleri'!$E$16:$E$20,0),MATCH('İşçilik Parametreleri'!$B$26,{"Manuel","Robot","HTD","Lazer"},0)))*'İşçilik Parametreleri'!$B$28/1000+O43*IF(OR('İşçilik Parametreleri'!$B$26="Robot",'İşçilik Parametreleri'!$B$26="HTD"),'İşçilik Parametreleri'!$B$30,'İşçilik Parametreleri'!$B$29))*'İşçilik Parametreleri'!$B$31</f>
        <v>8.3000000000000007</v>
      </c>
      <c r="Z43" s="74">
        <f t="shared" si="5"/>
        <v>18.1005</v>
      </c>
      <c r="AA43" s="75" t="s">
        <v>124</v>
      </c>
      <c r="AB43" s="76"/>
      <c r="AC43" s="77">
        <f>IF(AA43="Kataforez",N(AB43),IF(AA43="Yaş boya",'İşçilik Parametreleri'!$B$6/MAX(1,ROUND(IF(ISNUMBER(AB43),AB43,'İşçilik Parametreleri'!$B$7),0)),0))</f>
        <v>0</v>
      </c>
      <c r="AD43" s="78">
        <f>W43/100*'İşçilik Parametreleri'!$B$9+X43/100*'İşçilik Parametreleri'!$B$17+Y43/100*'İşçilik Parametreleri'!$B$25</f>
        <v>6.0335000000000001</v>
      </c>
      <c r="AE43" s="78">
        <f t="shared" si="6"/>
        <v>6.0335000000000001</v>
      </c>
      <c r="AF43" s="75">
        <v>93</v>
      </c>
      <c r="AG43" s="79">
        <f>AD43*AF43+IF(AA43="Kataforez",N(AB43)*AF43,IF(AA43="Yaş boya",ROUNDUP(AF43/MAX(1,ROUND(IF(ISNUMBER(AB43),AB43,'İşçilik Parametreleri'!$B$7),0)),0)*'İşçilik Parametreleri'!$B$6,0))</f>
        <v>561.1155</v>
      </c>
      <c r="AH43" s="70">
        <f t="shared" si="7"/>
        <v>28.055774999999997</v>
      </c>
    </row>
    <row r="44" spans="1:34" ht="15" customHeight="1" x14ac:dyDescent="0.25">
      <c r="A44" s="82" t="s">
        <v>481</v>
      </c>
      <c r="B44" s="68" t="s">
        <v>439</v>
      </c>
      <c r="C44" s="69" t="s">
        <v>162</v>
      </c>
      <c r="D44" s="68" t="s">
        <v>148</v>
      </c>
      <c r="E44" s="68" t="s">
        <v>442</v>
      </c>
      <c r="F44" s="68">
        <v>1</v>
      </c>
      <c r="G44" s="68">
        <v>2</v>
      </c>
      <c r="H44" s="68">
        <v>5</v>
      </c>
      <c r="I44" s="68">
        <v>5</v>
      </c>
      <c r="J44" s="68">
        <v>6</v>
      </c>
      <c r="K44" s="70">
        <v>17.306000000000001</v>
      </c>
      <c r="L44" s="70">
        <v>17.22</v>
      </c>
      <c r="M44" s="71">
        <f t="shared" si="4"/>
        <v>-4.9693747833122661E-3</v>
      </c>
      <c r="N44" s="68">
        <v>4</v>
      </c>
      <c r="O44" s="68">
        <v>4</v>
      </c>
      <c r="P44" s="68">
        <v>0</v>
      </c>
      <c r="Q44" s="72">
        <v>0</v>
      </c>
      <c r="R44" s="72">
        <v>1546</v>
      </c>
      <c r="S44" s="72">
        <v>0</v>
      </c>
      <c r="T44" s="72">
        <v>0</v>
      </c>
      <c r="U44" s="72">
        <v>0</v>
      </c>
      <c r="V44" s="73">
        <f>SUM(Q44:U44)*'İşçilik Parametreleri'!$B$28/1000</f>
        <v>1.546</v>
      </c>
      <c r="W44" s="70">
        <f>SUMIF('Büküm Parçaları'!$A$2:$A$213,A44,'Büküm Parçaları'!$I$2:$I$213)</f>
        <v>33.493750000000006</v>
      </c>
      <c r="X44" s="70">
        <f>(I44*'İşçilik Parametreleri'!$B$18+IF(L44&gt;'İşçilik Parametreleri'!$B$21,'İşçilik Parametreleri'!$B$20,'İşçilik Parametreleri'!$B$19)+N44*'İşçilik Parametreleri'!$B$22)*'İşçilik Parametreleri'!$B$23</f>
        <v>15.4125</v>
      </c>
      <c r="Y44" s="70">
        <f>(IF('İşçilik Parametreleri'!$B$27="Resme göre",(Q44*INDEX('İşçilik Parametreleri'!$F$16:$I$20,1,MATCH('İşçilik Parametreleri'!$B$26,{"Manuel","Robot","HTD","Lazer"},0))+R44*INDEX('İşçilik Parametreleri'!$F$16:$I$20,2,MATCH('İşçilik Parametreleri'!$B$26,{"Manuel","Robot","HTD","Lazer"},0))+S44*INDEX('İşçilik Parametreleri'!$F$16:$I$20,3,MATCH('İşçilik Parametreleri'!$B$26,{"Manuel","Robot","HTD","Lazer"},0))+T44*INDEX('İşçilik Parametreleri'!$F$16:$I$20,4,MATCH('İşçilik Parametreleri'!$B$26,{"Manuel","Robot","HTD","Lazer"},0))+U44*INDEX('İşçilik Parametreleri'!$F$16:$I$20,5,MATCH('İşçilik Parametreleri'!$B$26,{"Manuel","Robot","HTD","Lazer"},0))),SUM(Q44:U44)*INDEX('İşçilik Parametreleri'!$F$16:$I$20,MATCH(VALUE('İşçilik Parametreleri'!$B$27),'İşçilik Parametreleri'!$E$16:$E$20,0),MATCH('İşçilik Parametreleri'!$B$26,{"Manuel","Robot","HTD","Lazer"},0)))*'İşçilik Parametreleri'!$B$28/1000+O44*IF(OR('İşçilik Parametreleri'!$B$26="Robot",'İşçilik Parametreleri'!$B$26="HTD"),'İşçilik Parametreleri'!$B$30,'İşçilik Parametreleri'!$B$29))*'İşçilik Parametreleri'!$B$31</f>
        <v>21.006</v>
      </c>
      <c r="Z44" s="74">
        <f t="shared" si="5"/>
        <v>41.94735</v>
      </c>
      <c r="AA44" s="75" t="s">
        <v>86</v>
      </c>
      <c r="AB44" s="76">
        <v>10000</v>
      </c>
      <c r="AC44" s="77">
        <f>IF(AA44="Kataforez",N(AB44),IF(AA44="Yaş boya",'İşçilik Parametreleri'!$B$6/MAX(1,ROUND(IF(ISNUMBER(AB44),AB44,'İşçilik Parametreleri'!$B$7),0)),0))</f>
        <v>8.0000000000000002E-3</v>
      </c>
      <c r="AD44" s="78">
        <f>W44/100*'İşçilik Parametreleri'!$B$9+X44/100*'İşçilik Parametreleri'!$B$17+Y44/100*'İşçilik Parametreleri'!$B$25</f>
        <v>13.98245</v>
      </c>
      <c r="AE44" s="78">
        <f t="shared" si="6"/>
        <v>13.990449999999999</v>
      </c>
      <c r="AF44" s="75">
        <v>29</v>
      </c>
      <c r="AG44" s="79">
        <f>AD44*AF44+IF(AA44="Kataforez",N(AB44)*AF44,IF(AA44="Yaş boya",ROUNDUP(AF44/MAX(1,ROUND(IF(ISNUMBER(AB44),AB44,'İşçilik Parametreleri'!$B$7),0)),0)*'İşçilik Parametreleri'!$B$6,0))</f>
        <v>485.49104999999997</v>
      </c>
      <c r="AH44" s="70">
        <f t="shared" si="7"/>
        <v>20.274552499999999</v>
      </c>
    </row>
    <row r="45" spans="1:34" ht="15" customHeight="1" x14ac:dyDescent="0.25">
      <c r="A45" s="82" t="s">
        <v>482</v>
      </c>
      <c r="B45" s="80" t="s">
        <v>23</v>
      </c>
      <c r="C45" s="81" t="s">
        <v>163</v>
      </c>
      <c r="D45" s="68" t="s">
        <v>99</v>
      </c>
      <c r="E45" s="68" t="s">
        <v>442</v>
      </c>
      <c r="F45" s="68">
        <v>2</v>
      </c>
      <c r="G45" s="68">
        <v>3</v>
      </c>
      <c r="H45" s="68">
        <v>2</v>
      </c>
      <c r="I45" s="68">
        <v>2</v>
      </c>
      <c r="J45" s="68">
        <v>2</v>
      </c>
      <c r="K45" s="70">
        <v>0.92</v>
      </c>
      <c r="L45" s="70">
        <v>1.054</v>
      </c>
      <c r="M45" s="71">
        <f t="shared" si="4"/>
        <v>0.14565217391304347</v>
      </c>
      <c r="N45" s="68">
        <v>2</v>
      </c>
      <c r="O45" s="68">
        <v>2</v>
      </c>
      <c r="P45" s="68">
        <v>0</v>
      </c>
      <c r="Q45" s="72">
        <v>110</v>
      </c>
      <c r="R45" s="72">
        <v>0</v>
      </c>
      <c r="S45" s="72">
        <v>0</v>
      </c>
      <c r="T45" s="72">
        <v>0</v>
      </c>
      <c r="U45" s="72">
        <v>0</v>
      </c>
      <c r="V45" s="73">
        <f>SUM(Q45:U45)*'İşçilik Parametreleri'!$B$28/1000</f>
        <v>0.11</v>
      </c>
      <c r="W45" s="70">
        <f>SUMIF('Büküm Parçaları'!$A$2:$A$213,A45,'Büküm Parçaları'!$I$2:$I$213)</f>
        <v>0</v>
      </c>
      <c r="X45" s="70">
        <f>(I45*'İşçilik Parametreleri'!$B$18+IF(L45&gt;'İşçilik Parametreleri'!$B$21,'İşçilik Parametreleri'!$B$20,'İşçilik Parametreleri'!$B$19)+N45*'İşçilik Parametreleri'!$B$22)*'İşçilik Parametreleri'!$B$23</f>
        <v>9.1624999999999996</v>
      </c>
      <c r="Y45" s="70">
        <f>(IF('İşçilik Parametreleri'!$B$27="Resme göre",(Q45*INDEX('İşçilik Parametreleri'!$F$16:$I$20,1,MATCH('İşçilik Parametreleri'!$B$26,{"Manuel","Robot","HTD","Lazer"},0))+R45*INDEX('İşçilik Parametreleri'!$F$16:$I$20,2,MATCH('İşçilik Parametreleri'!$B$26,{"Manuel","Robot","HTD","Lazer"},0))+S45*INDEX('İşçilik Parametreleri'!$F$16:$I$20,3,MATCH('İşçilik Parametreleri'!$B$26,{"Manuel","Robot","HTD","Lazer"},0))+T45*INDEX('İşçilik Parametreleri'!$F$16:$I$20,4,MATCH('İşçilik Parametreleri'!$B$26,{"Manuel","Robot","HTD","Lazer"},0))+U45*INDEX('İşçilik Parametreleri'!$F$16:$I$20,5,MATCH('İşçilik Parametreleri'!$B$26,{"Manuel","Robot","HTD","Lazer"},0))),SUM(Q45:U45)*INDEX('İşçilik Parametreleri'!$F$16:$I$20,MATCH(VALUE('İşçilik Parametreleri'!$B$27),'İşçilik Parametreleri'!$E$16:$E$20,0),MATCH('İşçilik Parametreleri'!$B$26,{"Manuel","Robot","HTD","Lazer"},0)))*'İşçilik Parametreleri'!$B$28/1000+O45*IF(OR('İşçilik Parametreleri'!$B$26="Robot",'İşçilik Parametreleri'!$B$26="HTD"),'İşçilik Parametreleri'!$B$30,'İşçilik Parametreleri'!$B$29))*'İşçilik Parametreleri'!$B$31</f>
        <v>2.77</v>
      </c>
      <c r="Z45" s="74">
        <f t="shared" si="5"/>
        <v>7.1594999999999995</v>
      </c>
      <c r="AA45" s="75" t="s">
        <v>86</v>
      </c>
      <c r="AB45" s="76">
        <v>10000</v>
      </c>
      <c r="AC45" s="77">
        <f>IF(AA45="Kataforez",N(AB45),IF(AA45="Yaş boya",'İşçilik Parametreleri'!$B$6/MAX(1,ROUND(IF(ISNUMBER(AB45),AB45,'İşçilik Parametreleri'!$B$7),0)),0))</f>
        <v>8.0000000000000002E-3</v>
      </c>
      <c r="AD45" s="78">
        <f>W45/100*'İşçilik Parametreleri'!$B$9+X45/100*'İşçilik Parametreleri'!$B$17+Y45/100*'İşçilik Parametreleri'!$B$25</f>
        <v>2.3864999999999998</v>
      </c>
      <c r="AE45" s="78">
        <f t="shared" si="6"/>
        <v>2.3944999999999999</v>
      </c>
      <c r="AF45" s="75">
        <v>108</v>
      </c>
      <c r="AG45" s="79">
        <f>AD45*AF45+IF(AA45="Kataforez",N(AB45)*AF45,IF(AA45="Yaş boya",ROUNDUP(AF45/MAX(1,ROUND(IF(ISNUMBER(AB45),AB45,'İşçilik Parametreleri'!$B$7),0)),0)*'İşçilik Parametreleri'!$B$6,0))</f>
        <v>337.74199999999996</v>
      </c>
      <c r="AH45" s="70">
        <f t="shared" si="7"/>
        <v>12.887099999999998</v>
      </c>
    </row>
    <row r="46" spans="1:34" ht="15" customHeight="1" x14ac:dyDescent="0.25">
      <c r="A46" s="82" t="s">
        <v>483</v>
      </c>
      <c r="B46" s="83" t="s">
        <v>23</v>
      </c>
      <c r="C46" s="81" t="s">
        <v>164</v>
      </c>
      <c r="D46" s="68" t="s">
        <v>117</v>
      </c>
      <c r="E46" s="68" t="s">
        <v>130</v>
      </c>
      <c r="F46" s="68">
        <v>1</v>
      </c>
      <c r="G46" s="68">
        <v>2</v>
      </c>
      <c r="H46" s="68">
        <v>2</v>
      </c>
      <c r="I46" s="68">
        <v>2</v>
      </c>
      <c r="J46" s="68">
        <v>0</v>
      </c>
      <c r="K46" s="70">
        <v>2.2280000000000002</v>
      </c>
      <c r="L46" s="70">
        <v>2.2280000000000002</v>
      </c>
      <c r="M46" s="71">
        <f t="shared" si="4"/>
        <v>0</v>
      </c>
      <c r="N46" s="68">
        <v>2</v>
      </c>
      <c r="O46" s="68">
        <v>2</v>
      </c>
      <c r="P46" s="68">
        <v>0</v>
      </c>
      <c r="Q46" s="72">
        <v>0</v>
      </c>
      <c r="R46" s="72">
        <v>314</v>
      </c>
      <c r="S46" s="72">
        <v>0</v>
      </c>
      <c r="T46" s="72">
        <v>0</v>
      </c>
      <c r="U46" s="72">
        <v>0</v>
      </c>
      <c r="V46" s="73">
        <f>SUM(Q46:U46)*'İşçilik Parametreleri'!$B$28/1000</f>
        <v>0.314</v>
      </c>
      <c r="W46" s="70">
        <f>SUMIF('Büküm Parçaları'!$A$2:$A$213,A46,'Büküm Parçaları'!$I$2:$I$213)</f>
        <v>0</v>
      </c>
      <c r="X46" s="70">
        <f>(I46*'İşçilik Parametreleri'!$B$18+IF(L46&gt;'İşçilik Parametreleri'!$B$21,'İşçilik Parametreleri'!$B$20,'İşçilik Parametreleri'!$B$19)+N46*'İşçilik Parametreleri'!$B$22)*'İşçilik Parametreleri'!$B$23</f>
        <v>9.1624999999999996</v>
      </c>
      <c r="Y46" s="70">
        <f>(IF('İşçilik Parametreleri'!$B$27="Resme göre",(Q46*INDEX('İşçilik Parametreleri'!$F$16:$I$20,1,MATCH('İşçilik Parametreleri'!$B$26,{"Manuel","Robot","HTD","Lazer"},0))+R46*INDEX('İşçilik Parametreleri'!$F$16:$I$20,2,MATCH('İşçilik Parametreleri'!$B$26,{"Manuel","Robot","HTD","Lazer"},0))+S46*INDEX('İşçilik Parametreleri'!$F$16:$I$20,3,MATCH('İşçilik Parametreleri'!$B$26,{"Manuel","Robot","HTD","Lazer"},0))+T46*INDEX('İşçilik Parametreleri'!$F$16:$I$20,4,MATCH('İşçilik Parametreleri'!$B$26,{"Manuel","Robot","HTD","Lazer"},0))+U46*INDEX('İşçilik Parametreleri'!$F$16:$I$20,5,MATCH('İşçilik Parametreleri'!$B$26,{"Manuel","Robot","HTD","Lazer"},0))),SUM(Q46:U46)*INDEX('İşçilik Parametreleri'!$F$16:$I$20,MATCH(VALUE('İşçilik Parametreleri'!$B$27),'İşçilik Parametreleri'!$E$16:$E$20,0),MATCH('İşçilik Parametreleri'!$B$26,{"Manuel","Robot","HTD","Lazer"},0)))*'İşçilik Parametreleri'!$B$28/1000+O46*IF(OR('İşçilik Parametreleri'!$B$26="Robot",'İşçilik Parametreleri'!$B$26="HTD"),'İşçilik Parametreleri'!$B$30,'İşçilik Parametreleri'!$B$29))*'İşçilik Parametreleri'!$B$31</f>
        <v>5.4540000000000006</v>
      </c>
      <c r="Z46" s="74">
        <f t="shared" si="5"/>
        <v>8.7698999999999998</v>
      </c>
      <c r="AA46" s="75" t="s">
        <v>124</v>
      </c>
      <c r="AB46" s="76"/>
      <c r="AC46" s="77">
        <f>IF(AA46="Kataforez",N(AB46),IF(AA46="Yaş boya",'İşçilik Parametreleri'!$B$6/MAX(1,ROUND(IF(ISNUMBER(AB46),AB46,'İşçilik Parametreleri'!$B$7),0)),0))</f>
        <v>0</v>
      </c>
      <c r="AD46" s="78">
        <f>W46/100*'İşçilik Parametreleri'!$B$9+X46/100*'İşçilik Parametreleri'!$B$17+Y46/100*'İşçilik Parametreleri'!$B$25</f>
        <v>2.9233000000000002</v>
      </c>
      <c r="AE46" s="78">
        <f t="shared" si="6"/>
        <v>2.9233000000000002</v>
      </c>
      <c r="AF46" s="75">
        <v>174</v>
      </c>
      <c r="AG46" s="79">
        <f>AD46*AF46+IF(AA46="Kataforez",N(AB46)*AF46,IF(AA46="Yaş boya",ROUNDUP(AF46/MAX(1,ROUND(IF(ISNUMBER(AB46),AB46,'İşçilik Parametreleri'!$B$7),0)),0)*'İşçilik Parametreleri'!$B$6,0))</f>
        <v>508.65420000000006</v>
      </c>
      <c r="AH46" s="70">
        <f t="shared" si="7"/>
        <v>25.43271</v>
      </c>
    </row>
    <row r="47" spans="1:34" ht="15" customHeight="1" x14ac:dyDescent="0.25">
      <c r="A47" s="82" t="s">
        <v>484</v>
      </c>
      <c r="B47" s="80" t="s">
        <v>23</v>
      </c>
      <c r="C47" s="81" t="s">
        <v>166</v>
      </c>
      <c r="D47" s="68" t="s">
        <v>117</v>
      </c>
      <c r="E47" s="68" t="s">
        <v>442</v>
      </c>
      <c r="F47" s="68">
        <v>1</v>
      </c>
      <c r="G47" s="68">
        <v>2</v>
      </c>
      <c r="H47" s="68">
        <v>3</v>
      </c>
      <c r="I47" s="68">
        <v>3</v>
      </c>
      <c r="J47" s="68">
        <v>1</v>
      </c>
      <c r="K47" s="70">
        <v>4.7469999999999999</v>
      </c>
      <c r="L47" s="70">
        <v>4.5620000000000003</v>
      </c>
      <c r="M47" s="71">
        <f t="shared" si="4"/>
        <v>-3.8971982304613358E-2</v>
      </c>
      <c r="N47" s="68">
        <v>4</v>
      </c>
      <c r="O47" s="68">
        <v>4</v>
      </c>
      <c r="P47" s="68">
        <v>0</v>
      </c>
      <c r="Q47" s="72">
        <v>0</v>
      </c>
      <c r="R47" s="72">
        <v>0</v>
      </c>
      <c r="S47" s="72">
        <v>0</v>
      </c>
      <c r="T47" s="72">
        <v>0</v>
      </c>
      <c r="U47" s="72">
        <v>240</v>
      </c>
      <c r="V47" s="73">
        <f>SUM(Q47:U47)*'İşçilik Parametreleri'!$B$28/1000</f>
        <v>0.24</v>
      </c>
      <c r="W47" s="70">
        <f>SUMIF('Büküm Parçaları'!$A$2:$A$213,A47,'Büküm Parçaları'!$I$2:$I$213)</f>
        <v>5.4049999999999994</v>
      </c>
      <c r="X47" s="70">
        <f>(I47*'İşçilik Parametreleri'!$B$18+IF(L47&gt;'İşçilik Parametreleri'!$B$21,'İşçilik Parametreleri'!$B$20,'İşçilik Parametreleri'!$B$19)+N47*'İşçilik Parametreleri'!$B$22)*'İşçilik Parametreleri'!$B$23</f>
        <v>12.9125</v>
      </c>
      <c r="Y47" s="70">
        <f>(IF('İşçilik Parametreleri'!$B$27="Resme göre",(Q47*INDEX('İşçilik Parametreleri'!$F$16:$I$20,1,MATCH('İşçilik Parametreleri'!$B$26,{"Manuel","Robot","HTD","Lazer"},0))+R47*INDEX('İşçilik Parametreleri'!$F$16:$I$20,2,MATCH('İşçilik Parametreleri'!$B$26,{"Manuel","Robot","HTD","Lazer"},0))+S47*INDEX('İşçilik Parametreleri'!$F$16:$I$20,3,MATCH('İşçilik Parametreleri'!$B$26,{"Manuel","Robot","HTD","Lazer"},0))+T47*INDEX('İşçilik Parametreleri'!$F$16:$I$20,4,MATCH('İşçilik Parametreleri'!$B$26,{"Manuel","Robot","HTD","Lazer"},0))+U47*INDEX('İşçilik Parametreleri'!$F$16:$I$20,5,MATCH('İşçilik Parametreleri'!$B$26,{"Manuel","Robot","HTD","Lazer"},0))),SUM(Q47:U47)*INDEX('İşçilik Parametreleri'!$F$16:$I$20,MATCH(VALUE('İşçilik Parametreleri'!$B$27),'İşçilik Parametreleri'!$E$16:$E$20,0),MATCH('İşçilik Parametreleri'!$B$26,{"Manuel","Robot","HTD","Lazer"},0)))*'İşçilik Parametreleri'!$B$28/1000+O47*IF(OR('İşçilik Parametreleri'!$B$26="Robot",'İşçilik Parametreleri'!$B$26="HTD"),'İşçilik Parametreleri'!$B$30,'İşçilik Parametreleri'!$B$29))*'İşçilik Parametreleri'!$B$31</f>
        <v>11.440000000000001</v>
      </c>
      <c r="Z47" s="74">
        <f t="shared" si="5"/>
        <v>17.854499999999998</v>
      </c>
      <c r="AA47" s="75" t="s">
        <v>86</v>
      </c>
      <c r="AB47" s="76">
        <v>10000</v>
      </c>
      <c r="AC47" s="77">
        <f>IF(AA47="Kataforez",N(AB47),IF(AA47="Yaş boya",'İşçilik Parametreleri'!$B$6/MAX(1,ROUND(IF(ISNUMBER(AB47),AB47,'İşçilik Parametreleri'!$B$7),0)),0))</f>
        <v>8.0000000000000002E-3</v>
      </c>
      <c r="AD47" s="78">
        <f>W47/100*'İşçilik Parametreleri'!$B$9+X47/100*'İşçilik Parametreleri'!$B$17+Y47/100*'İşçilik Parametreleri'!$B$25</f>
        <v>5.9514999999999993</v>
      </c>
      <c r="AE47" s="78">
        <f t="shared" si="6"/>
        <v>5.9594999999999994</v>
      </c>
      <c r="AF47" s="75">
        <v>58</v>
      </c>
      <c r="AG47" s="79">
        <f>AD47*AF47+IF(AA47="Kataforez",N(AB47)*AF47,IF(AA47="Yaş boya",ROUNDUP(AF47/MAX(1,ROUND(IF(ISNUMBER(AB47),AB47,'İşçilik Parametreleri'!$B$7),0)),0)*'İşçilik Parametreleri'!$B$6,0))</f>
        <v>425.18699999999995</v>
      </c>
      <c r="AH47" s="70">
        <f t="shared" si="7"/>
        <v>17.259349999999998</v>
      </c>
    </row>
    <row r="48" spans="1:34" ht="15" customHeight="1" x14ac:dyDescent="0.25">
      <c r="A48" s="67" t="s">
        <v>485</v>
      </c>
      <c r="B48" s="68" t="s">
        <v>439</v>
      </c>
      <c r="C48" s="69" t="s">
        <v>167</v>
      </c>
      <c r="D48" s="68" t="s">
        <v>107</v>
      </c>
      <c r="E48" s="68" t="s">
        <v>478</v>
      </c>
      <c r="F48" s="68">
        <v>1</v>
      </c>
      <c r="G48" s="68">
        <v>4</v>
      </c>
      <c r="H48" s="68">
        <v>4</v>
      </c>
      <c r="I48" s="68">
        <v>4</v>
      </c>
      <c r="J48" s="68">
        <v>1</v>
      </c>
      <c r="K48" s="70">
        <v>27.759</v>
      </c>
      <c r="L48" s="70">
        <v>26.933</v>
      </c>
      <c r="M48" s="71">
        <f t="shared" si="4"/>
        <v>-2.9756115133830488E-2</v>
      </c>
      <c r="N48" s="68">
        <v>5</v>
      </c>
      <c r="O48" s="68">
        <v>5</v>
      </c>
      <c r="P48" s="68">
        <v>0</v>
      </c>
      <c r="Q48" s="72">
        <v>0</v>
      </c>
      <c r="R48" s="72">
        <v>0</v>
      </c>
      <c r="S48" s="72">
        <v>0</v>
      </c>
      <c r="T48" s="72">
        <v>0</v>
      </c>
      <c r="U48" s="72">
        <v>1698</v>
      </c>
      <c r="V48" s="73">
        <f>SUM(Q48:U48)*'İşçilik Parametreleri'!$B$28/1000</f>
        <v>1.698</v>
      </c>
      <c r="W48" s="70">
        <f>SUMIF('Büküm Parçaları'!$A$2:$A$213,A48,'Büküm Parçaları'!$I$2:$I$213)</f>
        <v>10.723750000000001</v>
      </c>
      <c r="X48" s="70">
        <f>(I48*'İşçilik Parametreleri'!$B$18+IF(L48&gt;'İşçilik Parametreleri'!$B$21,'İşçilik Parametreleri'!$B$20,'İşçilik Parametreleri'!$B$19)+N48*'İşçilik Parametreleri'!$B$22)*'İşçilik Parametreleri'!$B$23</f>
        <v>20</v>
      </c>
      <c r="Y48" s="70">
        <f>(IF('İşçilik Parametreleri'!$B$27="Resme göre",(Q48*INDEX('İşçilik Parametreleri'!$F$16:$I$20,1,MATCH('İşçilik Parametreleri'!$B$26,{"Manuel","Robot","HTD","Lazer"},0))+R48*INDEX('İşçilik Parametreleri'!$F$16:$I$20,2,MATCH('İşçilik Parametreleri'!$B$26,{"Manuel","Robot","HTD","Lazer"},0))+S48*INDEX('İşçilik Parametreleri'!$F$16:$I$20,3,MATCH('İşçilik Parametreleri'!$B$26,{"Manuel","Robot","HTD","Lazer"},0))+T48*INDEX('İşçilik Parametreleri'!$F$16:$I$20,4,MATCH('İşçilik Parametreleri'!$B$26,{"Manuel","Robot","HTD","Lazer"},0))+U48*INDEX('İşçilik Parametreleri'!$F$16:$I$20,5,MATCH('İşçilik Parametreleri'!$B$26,{"Manuel","Robot","HTD","Lazer"},0))),SUM(Q48:U48)*INDEX('İşçilik Parametreleri'!$F$16:$I$20,MATCH(VALUE('İşçilik Parametreleri'!$B$27),'İşçilik Parametreleri'!$E$16:$E$20,0),MATCH('İşçilik Parametreleri'!$B$26,{"Manuel","Robot","HTD","Lazer"},0)))*'İşçilik Parametreleri'!$B$28/1000+O48*IF(OR('İşçilik Parametreleri'!$B$26="Robot",'İşçilik Parametreleri'!$B$26="HTD"),'İşçilik Parametreleri'!$B$30,'İşçilik Parametreleri'!$B$29))*'İşçilik Parametreleri'!$B$31</f>
        <v>57.637999999999998</v>
      </c>
      <c r="Z48" s="74">
        <f t="shared" si="5"/>
        <v>53.017049999999998</v>
      </c>
      <c r="AA48" s="75" t="s">
        <v>86</v>
      </c>
      <c r="AB48" s="76">
        <v>10000</v>
      </c>
      <c r="AC48" s="77">
        <f>IF(AA48="Kataforez",N(AB48),IF(AA48="Yaş boya",'İşçilik Parametreleri'!$B$6/MAX(1,ROUND(IF(ISNUMBER(AB48),AB48,'İşçilik Parametreleri'!$B$7),0)),0))</f>
        <v>8.0000000000000002E-3</v>
      </c>
      <c r="AD48" s="78">
        <f>W48/100*'İşçilik Parametreleri'!$B$9+X48/100*'İşçilik Parametreleri'!$B$17+Y48/100*'İşçilik Parametreleri'!$B$25</f>
        <v>17.672350000000002</v>
      </c>
      <c r="AE48" s="78">
        <f t="shared" si="6"/>
        <v>17.680350000000001</v>
      </c>
      <c r="AF48" s="75">
        <v>19</v>
      </c>
      <c r="AG48" s="79">
        <f>AD48*AF48+IF(AA48="Kataforez",N(AB48)*AF48,IF(AA48="Yaş boya",ROUNDUP(AF48/MAX(1,ROUND(IF(ISNUMBER(AB48),AB48,'İşçilik Parametreleri'!$B$7),0)),0)*'İşçilik Parametreleri'!$B$6,0))</f>
        <v>415.77465000000001</v>
      </c>
      <c r="AH48" s="70">
        <f t="shared" si="7"/>
        <v>16.788732500000002</v>
      </c>
    </row>
    <row r="49" spans="1:34" ht="15" customHeight="1" x14ac:dyDescent="0.25">
      <c r="A49" s="67" t="s">
        <v>486</v>
      </c>
      <c r="B49" s="68" t="s">
        <v>439</v>
      </c>
      <c r="C49" s="69" t="s">
        <v>168</v>
      </c>
      <c r="D49" s="68" t="s">
        <v>119</v>
      </c>
      <c r="E49" s="68" t="s">
        <v>478</v>
      </c>
      <c r="F49" s="68">
        <v>1</v>
      </c>
      <c r="G49" s="68">
        <v>4</v>
      </c>
      <c r="H49" s="68">
        <v>4</v>
      </c>
      <c r="I49" s="68">
        <v>4</v>
      </c>
      <c r="J49" s="68">
        <v>1</v>
      </c>
      <c r="K49" s="70">
        <v>27.65</v>
      </c>
      <c r="L49" s="70">
        <v>26.806000000000001</v>
      </c>
      <c r="M49" s="71">
        <f t="shared" si="4"/>
        <v>-3.0524412296564111E-2</v>
      </c>
      <c r="N49" s="68">
        <v>5</v>
      </c>
      <c r="O49" s="68">
        <v>5</v>
      </c>
      <c r="P49" s="68">
        <v>0</v>
      </c>
      <c r="Q49" s="72">
        <v>0</v>
      </c>
      <c r="R49" s="72">
        <v>0</v>
      </c>
      <c r="S49" s="72">
        <v>0</v>
      </c>
      <c r="T49" s="72">
        <v>0</v>
      </c>
      <c r="U49" s="72">
        <v>1698</v>
      </c>
      <c r="V49" s="73">
        <f>SUM(Q49:U49)*'İşçilik Parametreleri'!$B$28/1000</f>
        <v>1.698</v>
      </c>
      <c r="W49" s="70">
        <f>SUMIF('Büküm Parçaları'!$A$2:$A$213,A49,'Büküm Parçaları'!$I$2:$I$213)</f>
        <v>10.723750000000001</v>
      </c>
      <c r="X49" s="70">
        <f>(I49*'İşçilik Parametreleri'!$B$18+IF(L49&gt;'İşçilik Parametreleri'!$B$21,'İşçilik Parametreleri'!$B$20,'İşçilik Parametreleri'!$B$19)+N49*'İşçilik Parametreleri'!$B$22)*'İşçilik Parametreleri'!$B$23</f>
        <v>20</v>
      </c>
      <c r="Y49" s="70">
        <f>(IF('İşçilik Parametreleri'!$B$27="Resme göre",(Q49*INDEX('İşçilik Parametreleri'!$F$16:$I$20,1,MATCH('İşçilik Parametreleri'!$B$26,{"Manuel","Robot","HTD","Lazer"},0))+R49*INDEX('İşçilik Parametreleri'!$F$16:$I$20,2,MATCH('İşçilik Parametreleri'!$B$26,{"Manuel","Robot","HTD","Lazer"},0))+S49*INDEX('İşçilik Parametreleri'!$F$16:$I$20,3,MATCH('İşçilik Parametreleri'!$B$26,{"Manuel","Robot","HTD","Lazer"},0))+T49*INDEX('İşçilik Parametreleri'!$F$16:$I$20,4,MATCH('İşçilik Parametreleri'!$B$26,{"Manuel","Robot","HTD","Lazer"},0))+U49*INDEX('İşçilik Parametreleri'!$F$16:$I$20,5,MATCH('İşçilik Parametreleri'!$B$26,{"Manuel","Robot","HTD","Lazer"},0))),SUM(Q49:U49)*INDEX('İşçilik Parametreleri'!$F$16:$I$20,MATCH(VALUE('İşçilik Parametreleri'!$B$27),'İşçilik Parametreleri'!$E$16:$E$20,0),MATCH('İşçilik Parametreleri'!$B$26,{"Manuel","Robot","HTD","Lazer"},0)))*'İşçilik Parametreleri'!$B$28/1000+O49*IF(OR('İşçilik Parametreleri'!$B$26="Robot",'İşçilik Parametreleri'!$B$26="HTD"),'İşçilik Parametreleri'!$B$30,'İşçilik Parametreleri'!$B$29))*'İşçilik Parametreleri'!$B$31</f>
        <v>57.637999999999998</v>
      </c>
      <c r="Z49" s="74">
        <f t="shared" si="5"/>
        <v>53.017049999999998</v>
      </c>
      <c r="AA49" s="75" t="s">
        <v>86</v>
      </c>
      <c r="AB49" s="76">
        <v>10000</v>
      </c>
      <c r="AC49" s="77">
        <f>IF(AA49="Kataforez",N(AB49),IF(AA49="Yaş boya",'İşçilik Parametreleri'!$B$6/MAX(1,ROUND(IF(ISNUMBER(AB49),AB49,'İşçilik Parametreleri'!$B$7),0)),0))</f>
        <v>8.0000000000000002E-3</v>
      </c>
      <c r="AD49" s="78">
        <f>W49/100*'İşçilik Parametreleri'!$B$9+X49/100*'İşçilik Parametreleri'!$B$17+Y49/100*'İşçilik Parametreleri'!$B$25</f>
        <v>17.672350000000002</v>
      </c>
      <c r="AE49" s="78">
        <f t="shared" si="6"/>
        <v>17.680350000000001</v>
      </c>
      <c r="AF49" s="75">
        <v>19</v>
      </c>
      <c r="AG49" s="79">
        <f>AD49*AF49+IF(AA49="Kataforez",N(AB49)*AF49,IF(AA49="Yaş boya",ROUNDUP(AF49/MAX(1,ROUND(IF(ISNUMBER(AB49),AB49,'İşçilik Parametreleri'!$B$7),0)),0)*'İşçilik Parametreleri'!$B$6,0))</f>
        <v>415.77465000000001</v>
      </c>
      <c r="AH49" s="70">
        <f t="shared" si="7"/>
        <v>16.788732500000002</v>
      </c>
    </row>
    <row r="50" spans="1:34" ht="15" customHeight="1" x14ac:dyDescent="0.25">
      <c r="A50" s="82" t="s">
        <v>487</v>
      </c>
      <c r="B50" s="83" t="s">
        <v>23</v>
      </c>
      <c r="C50" s="81" t="s">
        <v>169</v>
      </c>
      <c r="D50" s="68" t="s">
        <v>148</v>
      </c>
      <c r="E50" s="68" t="s">
        <v>94</v>
      </c>
      <c r="F50" s="68">
        <v>1</v>
      </c>
      <c r="G50" s="68">
        <v>2</v>
      </c>
      <c r="H50" s="68">
        <v>8</v>
      </c>
      <c r="I50" s="68">
        <v>8</v>
      </c>
      <c r="J50" s="68">
        <v>2</v>
      </c>
      <c r="K50" s="70">
        <v>8.1679999999999993</v>
      </c>
      <c r="L50" s="70">
        <v>8.0009999999999994</v>
      </c>
      <c r="M50" s="71">
        <f t="shared" si="4"/>
        <v>-2.044564152791379E-2</v>
      </c>
      <c r="N50" s="68">
        <v>10</v>
      </c>
      <c r="O50" s="68">
        <v>10</v>
      </c>
      <c r="P50" s="68">
        <v>0</v>
      </c>
      <c r="Q50" s="72">
        <v>0</v>
      </c>
      <c r="R50" s="72">
        <v>0</v>
      </c>
      <c r="S50" s="72">
        <v>1000</v>
      </c>
      <c r="T50" s="72">
        <v>0</v>
      </c>
      <c r="U50" s="72">
        <v>0</v>
      </c>
      <c r="V50" s="73">
        <f>SUM(Q50:U50)*'İşçilik Parametreleri'!$B$28/1000</f>
        <v>1</v>
      </c>
      <c r="W50" s="70">
        <f>SUMIF('Büküm Parçaları'!$A$2:$A$213,A50,'Büküm Parçaları'!$I$2:$I$213)</f>
        <v>6.5549999999999997</v>
      </c>
      <c r="X50" s="70">
        <f>(I50*'İşçilik Parametreleri'!$B$18+IF(L50&gt;'İşçilik Parametreleri'!$B$21,'İşçilik Parametreleri'!$B$20,'İşçilik Parametreleri'!$B$19)+N50*'İşçilik Parametreleri'!$B$22)*'İşçilik Parametreleri'!$B$23</f>
        <v>26.662499999999998</v>
      </c>
      <c r="Y50" s="70">
        <f>(IF('İşçilik Parametreleri'!$B$27="Resme göre",(Q50*INDEX('İşçilik Parametreleri'!$F$16:$I$20,1,MATCH('İşçilik Parametreleri'!$B$26,{"Manuel","Robot","HTD","Lazer"},0))+R50*INDEX('İşçilik Parametreleri'!$F$16:$I$20,2,MATCH('İşçilik Parametreleri'!$B$26,{"Manuel","Robot","HTD","Lazer"},0))+S50*INDEX('İşçilik Parametreleri'!$F$16:$I$20,3,MATCH('İşçilik Parametreleri'!$B$26,{"Manuel","Robot","HTD","Lazer"},0))+T50*INDEX('İşçilik Parametreleri'!$F$16:$I$20,4,MATCH('İşçilik Parametreleri'!$B$26,{"Manuel","Robot","HTD","Lazer"},0))+U50*INDEX('İşçilik Parametreleri'!$F$16:$I$20,5,MATCH('İşçilik Parametreleri'!$B$26,{"Manuel","Robot","HTD","Lazer"},0))),SUM(Q50:U50)*INDEX('İşçilik Parametreleri'!$F$16:$I$20,MATCH(VALUE('İşçilik Parametreleri'!$B$27),'İşçilik Parametreleri'!$E$16:$E$20,0),MATCH('İşçilik Parametreleri'!$B$26,{"Manuel","Robot","HTD","Lazer"},0)))*'İşçilik Parametreleri'!$B$28/1000+O50*IF(OR('İşçilik Parametreleri'!$B$26="Robot",'İşçilik Parametreleri'!$B$26="HTD"),'İşçilik Parametreleri'!$B$30,'İşçilik Parametreleri'!$B$29))*'İşçilik Parametreleri'!$B$31</f>
        <v>28</v>
      </c>
      <c r="Z50" s="74">
        <f t="shared" si="5"/>
        <v>36.730499999999999</v>
      </c>
      <c r="AA50" s="75" t="s">
        <v>94</v>
      </c>
      <c r="AB50" s="76"/>
      <c r="AC50" s="77">
        <f>IF(AA50="Kataforez",N(AB50),IF(AA50="Yaş boya",'İşçilik Parametreleri'!$B$6/MAX(1,ROUND(IF(ISNUMBER(AB50),AB50,'İşçilik Parametreleri'!$B$7),0)),0))</f>
        <v>0</v>
      </c>
      <c r="AD50" s="78">
        <f>W50/100*'İşçilik Parametreleri'!$B$9+X50/100*'İşçilik Parametreleri'!$B$17+Y50/100*'İşçilik Parametreleri'!$B$25</f>
        <v>12.243500000000001</v>
      </c>
      <c r="AE50" s="78">
        <f t="shared" si="6"/>
        <v>12.243500000000001</v>
      </c>
      <c r="AF50" s="75">
        <v>37</v>
      </c>
      <c r="AG50" s="79">
        <f>AD50*AF50+IF(AA50="Kataforez",N(AB50)*AF50,IF(AA50="Yaş boya",ROUNDUP(AF50/MAX(1,ROUND(IF(ISNUMBER(AB50),AB50,'İşçilik Parametreleri'!$B$7),0)),0)*'İşçilik Parametreleri'!$B$6,0))</f>
        <v>453.00950000000006</v>
      </c>
      <c r="AH50" s="70">
        <f t="shared" si="7"/>
        <v>22.650475</v>
      </c>
    </row>
    <row r="51" spans="1:34" ht="15" customHeight="1" x14ac:dyDescent="0.25">
      <c r="A51" s="239" t="s">
        <v>488</v>
      </c>
      <c r="B51" s="83" t="s">
        <v>23</v>
      </c>
      <c r="C51" s="81" t="s">
        <v>171</v>
      </c>
      <c r="D51" s="68" t="s">
        <v>148</v>
      </c>
      <c r="E51" s="68" t="s">
        <v>94</v>
      </c>
      <c r="F51" s="68">
        <v>1</v>
      </c>
      <c r="G51" s="68">
        <v>2</v>
      </c>
      <c r="H51" s="68">
        <v>8</v>
      </c>
      <c r="I51" s="68">
        <v>8</v>
      </c>
      <c r="J51" s="68">
        <v>2</v>
      </c>
      <c r="K51" s="70">
        <v>8.1679999999999993</v>
      </c>
      <c r="L51" s="70">
        <v>8.0009999999999994</v>
      </c>
      <c r="M51" s="71">
        <f t="shared" si="4"/>
        <v>-2.044564152791379E-2</v>
      </c>
      <c r="N51" s="68">
        <v>10</v>
      </c>
      <c r="O51" s="68">
        <v>10</v>
      </c>
      <c r="P51" s="68">
        <v>0</v>
      </c>
      <c r="Q51" s="72">
        <v>0</v>
      </c>
      <c r="R51" s="72">
        <v>0</v>
      </c>
      <c r="S51" s="72">
        <v>1000</v>
      </c>
      <c r="T51" s="72">
        <v>0</v>
      </c>
      <c r="U51" s="72">
        <v>0</v>
      </c>
      <c r="V51" s="73">
        <f>SUM(Q51:U51)*'İşçilik Parametreleri'!$B$28/1000</f>
        <v>1</v>
      </c>
      <c r="W51" s="70">
        <f>SUMIF('Büküm Parçaları'!$A$2:$A$213,A51,'Büküm Parçaları'!$I$2:$I$213)</f>
        <v>6.5549999999999997</v>
      </c>
      <c r="X51" s="70">
        <f>(I51*'İşçilik Parametreleri'!$B$18+IF(L51&gt;'İşçilik Parametreleri'!$B$21,'İşçilik Parametreleri'!$B$20,'İşçilik Parametreleri'!$B$19)+N51*'İşçilik Parametreleri'!$B$22)*'İşçilik Parametreleri'!$B$23</f>
        <v>26.662499999999998</v>
      </c>
      <c r="Y51" s="70">
        <f>(IF('İşçilik Parametreleri'!$B$27="Resme göre",(Q51*INDEX('İşçilik Parametreleri'!$F$16:$I$20,1,MATCH('İşçilik Parametreleri'!$B$26,{"Manuel","Robot","HTD","Lazer"},0))+R51*INDEX('İşçilik Parametreleri'!$F$16:$I$20,2,MATCH('İşçilik Parametreleri'!$B$26,{"Manuel","Robot","HTD","Lazer"},0))+S51*INDEX('İşçilik Parametreleri'!$F$16:$I$20,3,MATCH('İşçilik Parametreleri'!$B$26,{"Manuel","Robot","HTD","Lazer"},0))+T51*INDEX('İşçilik Parametreleri'!$F$16:$I$20,4,MATCH('İşçilik Parametreleri'!$B$26,{"Manuel","Robot","HTD","Lazer"},0))+U51*INDEX('İşçilik Parametreleri'!$F$16:$I$20,5,MATCH('İşçilik Parametreleri'!$B$26,{"Manuel","Robot","HTD","Lazer"},0))),SUM(Q51:U51)*INDEX('İşçilik Parametreleri'!$F$16:$I$20,MATCH(VALUE('İşçilik Parametreleri'!$B$27),'İşçilik Parametreleri'!$E$16:$E$20,0),MATCH('İşçilik Parametreleri'!$B$26,{"Manuel","Robot","HTD","Lazer"},0)))*'İşçilik Parametreleri'!$B$28/1000+O51*IF(OR('İşçilik Parametreleri'!$B$26="Robot",'İşçilik Parametreleri'!$B$26="HTD"),'İşçilik Parametreleri'!$B$30,'İşçilik Parametreleri'!$B$29))*'İşçilik Parametreleri'!$B$31</f>
        <v>28</v>
      </c>
      <c r="Z51" s="74">
        <f t="shared" si="5"/>
        <v>36.730499999999999</v>
      </c>
      <c r="AA51" s="75" t="s">
        <v>94</v>
      </c>
      <c r="AB51" s="76"/>
      <c r="AC51" s="77">
        <f>IF(AA51="Kataforez",N(AB51),IF(AA51="Yaş boya",'İşçilik Parametreleri'!$B$6/MAX(1,ROUND(IF(ISNUMBER(AB51),AB51,'İşçilik Parametreleri'!$B$7),0)),0))</f>
        <v>0</v>
      </c>
      <c r="AD51" s="78">
        <f>W51/100*'İşçilik Parametreleri'!$B$9+X51/100*'İşçilik Parametreleri'!$B$17+Y51/100*'İşçilik Parametreleri'!$B$25</f>
        <v>12.243500000000001</v>
      </c>
      <c r="AE51" s="78">
        <f t="shared" si="6"/>
        <v>12.243500000000001</v>
      </c>
      <c r="AF51" s="75">
        <v>37</v>
      </c>
      <c r="AG51" s="79">
        <f>AD51*AF51+IF(AA51="Kataforez",N(AB51)*AF51,IF(AA51="Yaş boya",ROUNDUP(AF51/MAX(1,ROUND(IF(ISNUMBER(AB51),AB51,'İşçilik Parametreleri'!$B$7),0)),0)*'İşçilik Parametreleri'!$B$6,0))</f>
        <v>453.00950000000006</v>
      </c>
      <c r="AH51" s="70">
        <f t="shared" si="7"/>
        <v>22.650475</v>
      </c>
    </row>
    <row r="52" spans="1:34" ht="15" customHeight="1" x14ac:dyDescent="0.25">
      <c r="A52" s="82" t="s">
        <v>489</v>
      </c>
      <c r="B52" s="83" t="s">
        <v>23</v>
      </c>
      <c r="C52" s="81" t="s">
        <v>172</v>
      </c>
      <c r="D52" s="68" t="s">
        <v>156</v>
      </c>
      <c r="E52" s="68" t="s">
        <v>442</v>
      </c>
      <c r="F52" s="68">
        <v>1</v>
      </c>
      <c r="G52" s="68">
        <v>2</v>
      </c>
      <c r="H52" s="68">
        <v>6</v>
      </c>
      <c r="I52" s="68">
        <v>6</v>
      </c>
      <c r="J52" s="68">
        <v>6</v>
      </c>
      <c r="K52" s="70">
        <v>7.3319999999999999</v>
      </c>
      <c r="L52" s="70">
        <v>7.2670000000000003</v>
      </c>
      <c r="M52" s="71">
        <f t="shared" si="4"/>
        <v>-8.8652482269502876E-3</v>
      </c>
      <c r="N52" s="68">
        <v>5</v>
      </c>
      <c r="O52" s="68">
        <v>5</v>
      </c>
      <c r="P52" s="68">
        <v>0</v>
      </c>
      <c r="Q52" s="72">
        <v>0</v>
      </c>
      <c r="R52" s="72">
        <v>760</v>
      </c>
      <c r="S52" s="72">
        <v>0</v>
      </c>
      <c r="T52" s="72">
        <v>0</v>
      </c>
      <c r="U52" s="72">
        <v>0</v>
      </c>
      <c r="V52" s="73">
        <f>SUM(Q52:U52)*'İşçilik Parametreleri'!$B$28/1000</f>
        <v>0.76</v>
      </c>
      <c r="W52" s="70">
        <f>SUMIF('Büküm Parçaları'!$A$2:$A$213,A52,'Büküm Parçaları'!$I$2:$I$213)</f>
        <v>19.664999999999999</v>
      </c>
      <c r="X52" s="70">
        <f>(I52*'İşçilik Parametreleri'!$B$18+IF(L52&gt;'İşçilik Parametreleri'!$B$21,'İşçilik Parametreleri'!$B$20,'İşçilik Parametreleri'!$B$19)+N52*'İşçilik Parametreleri'!$B$22)*'İşçilik Parametreleri'!$B$23</f>
        <v>17.912500000000001</v>
      </c>
      <c r="Y52" s="70">
        <f>(IF('İşçilik Parametreleri'!$B$27="Resme göre",(Q52*INDEX('İşçilik Parametreleri'!$F$16:$I$20,1,MATCH('İşçilik Parametreleri'!$B$26,{"Manuel","Robot","HTD","Lazer"},0))+R52*INDEX('İşçilik Parametreleri'!$F$16:$I$20,2,MATCH('İşçilik Parametreleri'!$B$26,{"Manuel","Robot","HTD","Lazer"},0))+S52*INDEX('İşçilik Parametreleri'!$F$16:$I$20,3,MATCH('İşçilik Parametreleri'!$B$26,{"Manuel","Robot","HTD","Lazer"},0))+T52*INDEX('İşçilik Parametreleri'!$F$16:$I$20,4,MATCH('İşçilik Parametreleri'!$B$26,{"Manuel","Robot","HTD","Lazer"},0))+U52*INDEX('İşçilik Parametreleri'!$F$16:$I$20,5,MATCH('İşçilik Parametreleri'!$B$26,{"Manuel","Robot","HTD","Lazer"},0))),SUM(Q52:U52)*INDEX('İşçilik Parametreleri'!$F$16:$I$20,MATCH(VALUE('İşçilik Parametreleri'!$B$27),'İşçilik Parametreleri'!$E$16:$E$20,0),MATCH('İşçilik Parametreleri'!$B$26,{"Manuel","Robot","HTD","Lazer"},0)))*'İşçilik Parametreleri'!$B$28/1000+O52*IF(OR('İşçilik Parametreleri'!$B$26="Robot",'İşçilik Parametreleri'!$B$26="HTD"),'İşçilik Parametreleri'!$B$30,'İşçilik Parametreleri'!$B$29))*'İşçilik Parametreleri'!$B$31</f>
        <v>13.36</v>
      </c>
      <c r="Z52" s="74">
        <f t="shared" si="5"/>
        <v>30.5625</v>
      </c>
      <c r="AA52" s="75" t="s">
        <v>86</v>
      </c>
      <c r="AB52" s="76">
        <v>10000</v>
      </c>
      <c r="AC52" s="77">
        <f>IF(AA52="Kataforez",N(AB52),IF(AA52="Yaş boya",'İşçilik Parametreleri'!$B$6/MAX(1,ROUND(IF(ISNUMBER(AB52),AB52,'İşçilik Parametreleri'!$B$7),0)),0))</f>
        <v>8.0000000000000002E-3</v>
      </c>
      <c r="AD52" s="78">
        <f>W52/100*'İşçilik Parametreleri'!$B$9+X52/100*'İşçilik Parametreleri'!$B$17+Y52/100*'İşçilik Parametreleri'!$B$25</f>
        <v>10.1875</v>
      </c>
      <c r="AE52" s="78">
        <f t="shared" si="6"/>
        <v>10.195499999999999</v>
      </c>
      <c r="AF52" s="75">
        <v>29</v>
      </c>
      <c r="AG52" s="79">
        <f>AD52*AF52+IF(AA52="Kataforez",N(AB52)*AF52,IF(AA52="Yaş boya",ROUNDUP(AF52/MAX(1,ROUND(IF(ISNUMBER(AB52),AB52,'İşçilik Parametreleri'!$B$7),0)),0)*'İşçilik Parametreleri'!$B$6,0))</f>
        <v>375.4375</v>
      </c>
      <c r="AH52" s="70">
        <f t="shared" si="7"/>
        <v>14.771875</v>
      </c>
    </row>
    <row r="53" spans="1:34" ht="15" customHeight="1" x14ac:dyDescent="0.25">
      <c r="A53" s="82" t="s">
        <v>490</v>
      </c>
      <c r="B53" s="83" t="s">
        <v>23</v>
      </c>
      <c r="C53" s="81" t="s">
        <v>174</v>
      </c>
      <c r="D53" s="68" t="s">
        <v>117</v>
      </c>
      <c r="E53" s="68" t="s">
        <v>442</v>
      </c>
      <c r="F53" s="68">
        <v>1</v>
      </c>
      <c r="G53" s="68">
        <v>2</v>
      </c>
      <c r="H53" s="68">
        <v>3</v>
      </c>
      <c r="I53" s="68">
        <v>3</v>
      </c>
      <c r="J53" s="68">
        <v>2</v>
      </c>
      <c r="K53" s="70">
        <v>5.7489999999999997</v>
      </c>
      <c r="L53" s="70">
        <v>5.7450000000000001</v>
      </c>
      <c r="M53" s="71">
        <f t="shared" si="4"/>
        <v>-6.9577317794391363E-4</v>
      </c>
      <c r="N53" s="68">
        <v>2</v>
      </c>
      <c r="O53" s="68">
        <v>2</v>
      </c>
      <c r="P53" s="68">
        <v>0</v>
      </c>
      <c r="Q53" s="72">
        <v>300</v>
      </c>
      <c r="R53" s="72">
        <v>0</v>
      </c>
      <c r="S53" s="72">
        <v>0</v>
      </c>
      <c r="T53" s="72">
        <v>0</v>
      </c>
      <c r="U53" s="72">
        <v>0</v>
      </c>
      <c r="V53" s="73">
        <f>SUM(Q53:U53)*'İşçilik Parametreleri'!$B$28/1000</f>
        <v>0.3</v>
      </c>
      <c r="W53" s="70">
        <f>SUMIF('Büküm Parçaları'!$A$2:$A$213,A53,'Büküm Parçaları'!$I$2:$I$213)</f>
        <v>11.873750000000001</v>
      </c>
      <c r="X53" s="70">
        <f>(I53*'İşçilik Parametreleri'!$B$18+IF(L53&gt;'İşçilik Parametreleri'!$B$21,'İşçilik Parametreleri'!$B$20,'İşçilik Parametreleri'!$B$19)+N53*'İşçilik Parametreleri'!$B$22)*'İşçilik Parametreleri'!$B$23</f>
        <v>10.4125</v>
      </c>
      <c r="Y53" s="70">
        <f>(IF('İşçilik Parametreleri'!$B$27="Resme göre",(Q53*INDEX('İşçilik Parametreleri'!$F$16:$I$20,1,MATCH('İşçilik Parametreleri'!$B$26,{"Manuel","Robot","HTD","Lazer"},0))+R53*INDEX('İşçilik Parametreleri'!$F$16:$I$20,2,MATCH('İşçilik Parametreleri'!$B$26,{"Manuel","Robot","HTD","Lazer"},0))+S53*INDEX('İşçilik Parametreleri'!$F$16:$I$20,3,MATCH('İşçilik Parametreleri'!$B$26,{"Manuel","Robot","HTD","Lazer"},0))+T53*INDEX('İşçilik Parametreleri'!$F$16:$I$20,4,MATCH('İşçilik Parametreleri'!$B$26,{"Manuel","Robot","HTD","Lazer"},0))+U53*INDEX('İşçilik Parametreleri'!$F$16:$I$20,5,MATCH('İşçilik Parametreleri'!$B$26,{"Manuel","Robot","HTD","Lazer"},0))),SUM(Q53:U53)*INDEX('İşçilik Parametreleri'!$F$16:$I$20,MATCH(VALUE('İşçilik Parametreleri'!$B$27),'İşçilik Parametreleri'!$E$16:$E$20,0),MATCH('İşçilik Parametreleri'!$B$26,{"Manuel","Robot","HTD","Lazer"},0)))*'İşçilik Parametreleri'!$B$28/1000+O53*IF(OR('İşçilik Parametreleri'!$B$26="Robot",'İşçilik Parametreleri'!$B$26="HTD"),'İşçilik Parametreleri'!$B$30,'İşçilik Parametreleri'!$B$29))*'İşçilik Parametreleri'!$B$31</f>
        <v>4.0999999999999996</v>
      </c>
      <c r="Z53" s="74">
        <f t="shared" si="5"/>
        <v>15.831750000000001</v>
      </c>
      <c r="AA53" s="75" t="s">
        <v>86</v>
      </c>
      <c r="AB53" s="76">
        <v>10000</v>
      </c>
      <c r="AC53" s="77">
        <f>IF(AA53="Kataforez",N(AB53),IF(AA53="Yaş boya",'İşçilik Parametreleri'!$B$6/MAX(1,ROUND(IF(ISNUMBER(AB53),AB53,'İşçilik Parametreleri'!$B$7),0)),0))</f>
        <v>8.0000000000000002E-3</v>
      </c>
      <c r="AD53" s="78">
        <f>W53/100*'İşçilik Parametreleri'!$B$9+X53/100*'İşçilik Parametreleri'!$B$17+Y53/100*'İşçilik Parametreleri'!$B$25</f>
        <v>5.2772500000000004</v>
      </c>
      <c r="AE53" s="78">
        <f t="shared" si="6"/>
        <v>5.2852500000000004</v>
      </c>
      <c r="AF53" s="75">
        <v>52</v>
      </c>
      <c r="AG53" s="79">
        <f>AD53*AF53+IF(AA53="Kataforez",N(AB53)*AF53,IF(AA53="Yaş boya",ROUNDUP(AF53/MAX(1,ROUND(IF(ISNUMBER(AB53),AB53,'İşçilik Parametreleri'!$B$7),0)),0)*'İşçilik Parametreleri'!$B$6,0))</f>
        <v>354.41700000000003</v>
      </c>
      <c r="AH53" s="70">
        <f t="shared" si="7"/>
        <v>13.720850000000002</v>
      </c>
    </row>
    <row r="54" spans="1:34" ht="15" customHeight="1" x14ac:dyDescent="0.25">
      <c r="A54" s="82" t="s">
        <v>491</v>
      </c>
      <c r="B54" s="80" t="s">
        <v>23</v>
      </c>
      <c r="C54" s="81" t="s">
        <v>63</v>
      </c>
      <c r="D54" s="68" t="s">
        <v>156</v>
      </c>
      <c r="E54" s="68" t="s">
        <v>94</v>
      </c>
      <c r="F54" s="68">
        <v>1</v>
      </c>
      <c r="G54" s="68">
        <v>3</v>
      </c>
      <c r="H54" s="68">
        <v>2</v>
      </c>
      <c r="I54" s="68">
        <v>2</v>
      </c>
      <c r="J54" s="68">
        <v>1</v>
      </c>
      <c r="K54" s="70">
        <v>0.36299999999999999</v>
      </c>
      <c r="L54" s="70">
        <v>0.36299999999999999</v>
      </c>
      <c r="M54" s="71">
        <f t="shared" si="4"/>
        <v>0</v>
      </c>
      <c r="N54" s="68">
        <v>2</v>
      </c>
      <c r="O54" s="68">
        <v>2</v>
      </c>
      <c r="P54" s="68">
        <v>0</v>
      </c>
      <c r="Q54" s="72">
        <v>150</v>
      </c>
      <c r="R54" s="72">
        <v>0</v>
      </c>
      <c r="S54" s="72">
        <v>0</v>
      </c>
      <c r="T54" s="72">
        <v>0</v>
      </c>
      <c r="U54" s="72">
        <v>0</v>
      </c>
      <c r="V54" s="73">
        <f>SUM(Q54:U54)*'İşçilik Parametreleri'!$B$28/1000</f>
        <v>0.15</v>
      </c>
      <c r="W54" s="70">
        <f>SUMIF('Büküm Parçaları'!$A$2:$A$213,A54,'Büküm Parçaları'!$I$2:$I$213)</f>
        <v>5.4049999999999994</v>
      </c>
      <c r="X54" s="70">
        <f>(I54*'İşçilik Parametreleri'!$B$18+IF(L54&gt;'İşçilik Parametreleri'!$B$21,'İşçilik Parametreleri'!$B$20,'İşçilik Parametreleri'!$B$19)+N54*'İşçilik Parametreleri'!$B$22)*'İşçilik Parametreleri'!$B$23</f>
        <v>9.1624999999999996</v>
      </c>
      <c r="Y54" s="70">
        <f>(IF('İşçilik Parametreleri'!$B$27="Resme göre",(Q54*INDEX('İşçilik Parametreleri'!$F$16:$I$20,1,MATCH('İşçilik Parametreleri'!$B$26,{"Manuel","Robot","HTD","Lazer"},0))+R54*INDEX('İşçilik Parametreleri'!$F$16:$I$20,2,MATCH('İşçilik Parametreleri'!$B$26,{"Manuel","Robot","HTD","Lazer"},0))+S54*INDEX('İşçilik Parametreleri'!$F$16:$I$20,3,MATCH('İşçilik Parametreleri'!$B$26,{"Manuel","Robot","HTD","Lazer"},0))+T54*INDEX('İşçilik Parametreleri'!$F$16:$I$20,4,MATCH('İşçilik Parametreleri'!$B$26,{"Manuel","Robot","HTD","Lazer"},0))+U54*INDEX('İşçilik Parametreleri'!$F$16:$I$20,5,MATCH('İşçilik Parametreleri'!$B$26,{"Manuel","Robot","HTD","Lazer"},0))),SUM(Q54:U54)*INDEX('İşçilik Parametreleri'!$F$16:$I$20,MATCH(VALUE('İşçilik Parametreleri'!$B$27),'İşçilik Parametreleri'!$E$16:$E$20,0),MATCH('İşçilik Parametreleri'!$B$26,{"Manuel","Robot","HTD","Lazer"},0)))*'İşçilik Parametreleri'!$B$28/1000+O54*IF(OR('İşçilik Parametreleri'!$B$26="Robot",'İşçilik Parametreleri'!$B$26="HTD"),'İşçilik Parametreleri'!$B$30,'İşçilik Parametreleri'!$B$29))*'İşçilik Parametreleri'!$B$31</f>
        <v>3.05</v>
      </c>
      <c r="Z54" s="74">
        <f t="shared" si="5"/>
        <v>10.570499999999999</v>
      </c>
      <c r="AA54" s="75" t="s">
        <v>94</v>
      </c>
      <c r="AB54" s="76"/>
      <c r="AC54" s="77">
        <f>IF(AA54="Kataforez",N(AB54),IF(AA54="Yaş boya",'İşçilik Parametreleri'!$B$6/MAX(1,ROUND(IF(ISNUMBER(AB54),AB54,'İşçilik Parametreleri'!$B$7),0)),0))</f>
        <v>0</v>
      </c>
      <c r="AD54" s="78">
        <f>W54/100*'İşçilik Parametreleri'!$B$9+X54/100*'İşçilik Parametreleri'!$B$17+Y54/100*'İşçilik Parametreleri'!$B$25</f>
        <v>3.5234999999999999</v>
      </c>
      <c r="AE54" s="78">
        <f t="shared" si="6"/>
        <v>3.5234999999999999</v>
      </c>
      <c r="AF54" s="75">
        <v>119</v>
      </c>
      <c r="AG54" s="79">
        <f>AD54*AF54+IF(AA54="Kataforez",N(AB54)*AF54,IF(AA54="Yaş boya",ROUNDUP(AF54/MAX(1,ROUND(IF(ISNUMBER(AB54),AB54,'İşçilik Parametreleri'!$B$7),0)),0)*'İşçilik Parametreleri'!$B$6,0))</f>
        <v>419.29649999999998</v>
      </c>
      <c r="AH54" s="70">
        <f t="shared" si="7"/>
        <v>20.964825000000001</v>
      </c>
    </row>
    <row r="55" spans="1:34" ht="15" customHeight="1" x14ac:dyDescent="0.25">
      <c r="A55" s="82" t="s">
        <v>492</v>
      </c>
      <c r="B55" s="68" t="s">
        <v>439</v>
      </c>
      <c r="C55" s="69" t="s">
        <v>175</v>
      </c>
      <c r="D55" s="68" t="s">
        <v>107</v>
      </c>
      <c r="E55" s="68" t="s">
        <v>442</v>
      </c>
      <c r="F55" s="68">
        <v>1</v>
      </c>
      <c r="G55" s="68">
        <v>3</v>
      </c>
      <c r="H55" s="68">
        <v>4</v>
      </c>
      <c r="I55" s="68">
        <v>4</v>
      </c>
      <c r="J55" s="68">
        <v>0</v>
      </c>
      <c r="K55" s="70">
        <v>11.664999999999999</v>
      </c>
      <c r="L55" s="70">
        <v>11.007</v>
      </c>
      <c r="M55" s="71">
        <f t="shared" si="4"/>
        <v>-5.6408058294041968E-2</v>
      </c>
      <c r="N55" s="68">
        <v>5</v>
      </c>
      <c r="O55" s="68">
        <v>5</v>
      </c>
      <c r="P55" s="68">
        <v>0</v>
      </c>
      <c r="Q55" s="72">
        <v>0</v>
      </c>
      <c r="R55" s="72">
        <v>0</v>
      </c>
      <c r="S55" s="72">
        <v>0</v>
      </c>
      <c r="T55" s="72">
        <v>0</v>
      </c>
      <c r="U55" s="72">
        <v>656</v>
      </c>
      <c r="V55" s="73">
        <f>SUM(Q55:U55)*'İşçilik Parametreleri'!$B$28/1000</f>
        <v>0.65600000000000003</v>
      </c>
      <c r="W55" s="70">
        <f>SUMIF('Büküm Parçaları'!$A$2:$A$213,A55,'Büküm Parçaları'!$I$2:$I$213)</f>
        <v>0</v>
      </c>
      <c r="X55" s="70">
        <f>(I55*'İşçilik Parametreleri'!$B$18+IF(L55&gt;'İşçilik Parametreleri'!$B$21,'İşçilik Parametreleri'!$B$20,'İşçilik Parametreleri'!$B$19)+N55*'İşçilik Parametreleri'!$B$22)*'İşçilik Parametreleri'!$B$23</f>
        <v>15.4125</v>
      </c>
      <c r="Y55" s="70">
        <f>(IF('İşçilik Parametreleri'!$B$27="Resme göre",(Q55*INDEX('İşçilik Parametreleri'!$F$16:$I$20,1,MATCH('İşçilik Parametreleri'!$B$26,{"Manuel","Robot","HTD","Lazer"},0))+R55*INDEX('İşçilik Parametreleri'!$F$16:$I$20,2,MATCH('İşçilik Parametreleri'!$B$26,{"Manuel","Robot","HTD","Lazer"},0))+S55*INDEX('İşçilik Parametreleri'!$F$16:$I$20,3,MATCH('İşçilik Parametreleri'!$B$26,{"Manuel","Robot","HTD","Lazer"},0))+T55*INDEX('İşçilik Parametreleri'!$F$16:$I$20,4,MATCH('İşçilik Parametreleri'!$B$26,{"Manuel","Robot","HTD","Lazer"},0))+U55*INDEX('İşçilik Parametreleri'!$F$16:$I$20,5,MATCH('İşçilik Parametreleri'!$B$26,{"Manuel","Robot","HTD","Lazer"},0))),SUM(Q55:U55)*INDEX('İşçilik Parametreleri'!$F$16:$I$20,MATCH(VALUE('İşçilik Parametreleri'!$B$27),'İşçilik Parametreleri'!$E$16:$E$20,0),MATCH('İşçilik Parametreleri'!$B$26,{"Manuel","Robot","HTD","Lazer"},0)))*'İşçilik Parametreleri'!$B$28/1000+O55*IF(OR('İşçilik Parametreleri'!$B$26="Robot",'İşçilik Parametreleri'!$B$26="HTD"),'İşçilik Parametreleri'!$B$30,'İşçilik Parametreleri'!$B$29))*'İşçilik Parametreleri'!$B$31</f>
        <v>25.335999999999999</v>
      </c>
      <c r="Z55" s="74">
        <f t="shared" si="5"/>
        <v>24.449099999999998</v>
      </c>
      <c r="AA55" s="75" t="s">
        <v>86</v>
      </c>
      <c r="AB55" s="76">
        <v>10000</v>
      </c>
      <c r="AC55" s="77">
        <f>IF(AA55="Kataforez",N(AB55),IF(AA55="Yaş boya",'İşçilik Parametreleri'!$B$6/MAX(1,ROUND(IF(ISNUMBER(AB55),AB55,'İşçilik Parametreleri'!$B$7),0)),0))</f>
        <v>8.0000000000000002E-3</v>
      </c>
      <c r="AD55" s="78">
        <f>W55/100*'İşçilik Parametreleri'!$B$9+X55/100*'İşçilik Parametreleri'!$B$17+Y55/100*'İşçilik Parametreleri'!$B$25</f>
        <v>8.1496999999999993</v>
      </c>
      <c r="AE55" s="78">
        <f t="shared" si="6"/>
        <v>8.1576999999999984</v>
      </c>
      <c r="AF55" s="75">
        <v>32</v>
      </c>
      <c r="AG55" s="79">
        <f>AD55*AF55+IF(AA55="Kataforez",N(AB55)*AF55,IF(AA55="Yaş boya",ROUNDUP(AF55/MAX(1,ROUND(IF(ISNUMBER(AB55),AB55,'İşçilik Parametreleri'!$B$7),0)),0)*'İşçilik Parametreleri'!$B$6,0))</f>
        <v>340.79039999999998</v>
      </c>
      <c r="AH55" s="70">
        <f t="shared" si="7"/>
        <v>13.03952</v>
      </c>
    </row>
    <row r="56" spans="1:34" ht="15" customHeight="1" x14ac:dyDescent="0.25">
      <c r="A56" s="82" t="s">
        <v>493</v>
      </c>
      <c r="B56" s="83" t="s">
        <v>23</v>
      </c>
      <c r="C56" s="81" t="s">
        <v>176</v>
      </c>
      <c r="D56" s="68" t="s">
        <v>99</v>
      </c>
      <c r="E56" s="68" t="s">
        <v>447</v>
      </c>
      <c r="F56" s="68">
        <v>1</v>
      </c>
      <c r="G56" s="68">
        <v>2</v>
      </c>
      <c r="H56" s="68">
        <v>3</v>
      </c>
      <c r="I56" s="68">
        <v>3</v>
      </c>
      <c r="J56" s="68">
        <v>1</v>
      </c>
      <c r="K56" s="70">
        <v>4.133</v>
      </c>
      <c r="L56" s="70">
        <v>4.125</v>
      </c>
      <c r="M56" s="71">
        <f t="shared" si="4"/>
        <v>-1.9356399709654021E-3</v>
      </c>
      <c r="N56" s="68">
        <v>2</v>
      </c>
      <c r="O56" s="68">
        <v>2</v>
      </c>
      <c r="P56" s="68">
        <v>0</v>
      </c>
      <c r="Q56" s="72">
        <v>400</v>
      </c>
      <c r="R56" s="72">
        <v>0</v>
      </c>
      <c r="S56" s="72">
        <v>0</v>
      </c>
      <c r="T56" s="72">
        <v>0</v>
      </c>
      <c r="U56" s="72">
        <v>0</v>
      </c>
      <c r="V56" s="73">
        <f>SUM(Q56:U56)*'İşçilik Parametreleri'!$B$28/1000</f>
        <v>0.4</v>
      </c>
      <c r="W56" s="70">
        <f>SUMIF('Büküm Parçaları'!$A$2:$A$213,A56,'Büküm Parçaları'!$I$2:$I$213)</f>
        <v>5.4049999999999994</v>
      </c>
      <c r="X56" s="70">
        <f>(I56*'İşçilik Parametreleri'!$B$18+IF(L56&gt;'İşçilik Parametreleri'!$B$21,'İşçilik Parametreleri'!$B$20,'İşçilik Parametreleri'!$B$19)+N56*'İşçilik Parametreleri'!$B$22)*'İşçilik Parametreleri'!$B$23</f>
        <v>10.4125</v>
      </c>
      <c r="Y56" s="70">
        <f>(IF('İşçilik Parametreleri'!$B$27="Resme göre",(Q56*INDEX('İşçilik Parametreleri'!$F$16:$I$20,1,MATCH('İşçilik Parametreleri'!$B$26,{"Manuel","Robot","HTD","Lazer"},0))+R56*INDEX('İşçilik Parametreleri'!$F$16:$I$20,2,MATCH('İşçilik Parametreleri'!$B$26,{"Manuel","Robot","HTD","Lazer"},0))+S56*INDEX('İşçilik Parametreleri'!$F$16:$I$20,3,MATCH('İşçilik Parametreleri'!$B$26,{"Manuel","Robot","HTD","Lazer"},0))+T56*INDEX('İşçilik Parametreleri'!$F$16:$I$20,4,MATCH('İşçilik Parametreleri'!$B$26,{"Manuel","Robot","HTD","Lazer"},0))+U56*INDEX('İşçilik Parametreleri'!$F$16:$I$20,5,MATCH('İşçilik Parametreleri'!$B$26,{"Manuel","Robot","HTD","Lazer"},0))),SUM(Q56:U56)*INDEX('İşçilik Parametreleri'!$F$16:$I$20,MATCH(VALUE('İşçilik Parametreleri'!$B$27),'İşçilik Parametreleri'!$E$16:$E$20,0),MATCH('İşçilik Parametreleri'!$B$26,{"Manuel","Robot","HTD","Lazer"},0)))*'İşçilik Parametreleri'!$B$28/1000+O56*IF(OR('İşçilik Parametreleri'!$B$26="Robot",'İşçilik Parametreleri'!$B$26="HTD"),'İşçilik Parametreleri'!$B$30,'İşçilik Parametreleri'!$B$29))*'İşçilik Parametreleri'!$B$31</f>
        <v>4.8</v>
      </c>
      <c r="Z56" s="74">
        <f t="shared" si="5"/>
        <v>12.3705</v>
      </c>
      <c r="AA56" s="75" t="s">
        <v>86</v>
      </c>
      <c r="AB56" s="76">
        <v>10000</v>
      </c>
      <c r="AC56" s="77">
        <f>IF(AA56="Kataforez",N(AB56),IF(AA56="Yaş boya",'İşçilik Parametreleri'!$B$6/MAX(1,ROUND(IF(ISNUMBER(AB56),AB56,'İşçilik Parametreleri'!$B$7),0)),0))</f>
        <v>8.0000000000000002E-3</v>
      </c>
      <c r="AD56" s="78">
        <f>W56/100*'İşçilik Parametreleri'!$B$9+X56/100*'İşçilik Parametreleri'!$B$17+Y56/100*'İşçilik Parametreleri'!$B$25</f>
        <v>4.1234999999999999</v>
      </c>
      <c r="AE56" s="78">
        <f t="shared" si="6"/>
        <v>4.1315</v>
      </c>
      <c r="AF56" s="75">
        <v>61</v>
      </c>
      <c r="AG56" s="79">
        <f>AD56*AF56+IF(AA56="Kataforez",N(AB56)*AF56,IF(AA56="Yaş boya",ROUNDUP(AF56/MAX(1,ROUND(IF(ISNUMBER(AB56),AB56,'İşçilik Parametreleri'!$B$7),0)),0)*'İşçilik Parametreleri'!$B$6,0))</f>
        <v>331.5335</v>
      </c>
      <c r="AH56" s="70">
        <f t="shared" si="7"/>
        <v>12.576675</v>
      </c>
    </row>
    <row r="57" spans="1:34" ht="15" customHeight="1" x14ac:dyDescent="0.25">
      <c r="A57" s="82" t="s">
        <v>494</v>
      </c>
      <c r="B57" s="80" t="s">
        <v>23</v>
      </c>
      <c r="C57" s="81" t="s">
        <v>178</v>
      </c>
      <c r="D57" s="68" t="s">
        <v>119</v>
      </c>
      <c r="E57" s="68" t="s">
        <v>442</v>
      </c>
      <c r="F57" s="68">
        <v>1</v>
      </c>
      <c r="G57" s="68">
        <v>2</v>
      </c>
      <c r="H57" s="68">
        <v>2</v>
      </c>
      <c r="I57" s="68">
        <v>2</v>
      </c>
      <c r="J57" s="68">
        <v>1</v>
      </c>
      <c r="K57" s="70">
        <v>5.5209999999999999</v>
      </c>
      <c r="L57" s="70">
        <v>5.5060000000000002</v>
      </c>
      <c r="M57" s="71">
        <f t="shared" si="4"/>
        <v>-2.7168991124795652E-3</v>
      </c>
      <c r="N57" s="68">
        <v>2</v>
      </c>
      <c r="O57" s="68">
        <v>2</v>
      </c>
      <c r="P57" s="68">
        <v>0</v>
      </c>
      <c r="Q57" s="72">
        <v>230</v>
      </c>
      <c r="R57" s="72">
        <v>0</v>
      </c>
      <c r="S57" s="72">
        <v>0</v>
      </c>
      <c r="T57" s="72">
        <v>0</v>
      </c>
      <c r="U57" s="72">
        <v>0</v>
      </c>
      <c r="V57" s="73">
        <f>SUM(Q57:U57)*'İşçilik Parametreleri'!$B$28/1000</f>
        <v>0.23</v>
      </c>
      <c r="W57" s="70">
        <f>SUMIF('Büküm Parçaları'!$A$2:$A$213,A57,'Büküm Parçaları'!$I$2:$I$213)</f>
        <v>10.723750000000001</v>
      </c>
      <c r="X57" s="70">
        <f>(I57*'İşçilik Parametreleri'!$B$18+IF(L57&gt;'İşçilik Parametreleri'!$B$21,'İşçilik Parametreleri'!$B$20,'İşçilik Parametreleri'!$B$19)+N57*'İşçilik Parametreleri'!$B$22)*'İşçilik Parametreleri'!$B$23</f>
        <v>9.1624999999999996</v>
      </c>
      <c r="Y57" s="70">
        <f>(IF('İşçilik Parametreleri'!$B$27="Resme göre",(Q57*INDEX('İşçilik Parametreleri'!$F$16:$I$20,1,MATCH('İşçilik Parametreleri'!$B$26,{"Manuel","Robot","HTD","Lazer"},0))+R57*INDEX('İşçilik Parametreleri'!$F$16:$I$20,2,MATCH('İşçilik Parametreleri'!$B$26,{"Manuel","Robot","HTD","Lazer"},0))+S57*INDEX('İşçilik Parametreleri'!$F$16:$I$20,3,MATCH('İşçilik Parametreleri'!$B$26,{"Manuel","Robot","HTD","Lazer"},0))+T57*INDEX('İşçilik Parametreleri'!$F$16:$I$20,4,MATCH('İşçilik Parametreleri'!$B$26,{"Manuel","Robot","HTD","Lazer"},0))+U57*INDEX('İşçilik Parametreleri'!$F$16:$I$20,5,MATCH('İşçilik Parametreleri'!$B$26,{"Manuel","Robot","HTD","Lazer"},0))),SUM(Q57:U57)*INDEX('İşçilik Parametreleri'!$F$16:$I$20,MATCH(VALUE('İşçilik Parametreleri'!$B$27),'İşçilik Parametreleri'!$E$16:$E$20,0),MATCH('İşçilik Parametreleri'!$B$26,{"Manuel","Robot","HTD","Lazer"},0)))*'İşçilik Parametreleri'!$B$28/1000+O57*IF(OR('İşçilik Parametreleri'!$B$26="Robot",'İşçilik Parametreleri'!$B$26="HTD"),'İşçilik Parametreleri'!$B$30,'İşçilik Parametreleri'!$B$29))*'İşçilik Parametreleri'!$B$31</f>
        <v>3.6100000000000003</v>
      </c>
      <c r="Z57" s="74">
        <f t="shared" si="5"/>
        <v>14.09775</v>
      </c>
      <c r="AA57" s="75" t="s">
        <v>86</v>
      </c>
      <c r="AB57" s="76">
        <v>10000</v>
      </c>
      <c r="AC57" s="77">
        <f>IF(AA57="Kataforez",N(AB57),IF(AA57="Yaş boya",'İşçilik Parametreleri'!$B$6/MAX(1,ROUND(IF(ISNUMBER(AB57),AB57,'İşçilik Parametreleri'!$B$7),0)),0))</f>
        <v>8.0000000000000002E-3</v>
      </c>
      <c r="AD57" s="78">
        <f>W57/100*'İşçilik Parametreleri'!$B$9+X57/100*'İşçilik Parametreleri'!$B$17+Y57/100*'İşçilik Parametreleri'!$B$25</f>
        <v>4.6992500000000001</v>
      </c>
      <c r="AE57" s="78">
        <f t="shared" si="6"/>
        <v>4.7072500000000002</v>
      </c>
      <c r="AF57" s="75">
        <v>52</v>
      </c>
      <c r="AG57" s="79">
        <f>AD57*AF57+IF(AA57="Kataforez",N(AB57)*AF57,IF(AA57="Yaş boya",ROUNDUP(AF57/MAX(1,ROUND(IF(ISNUMBER(AB57),AB57,'İşçilik Parametreleri'!$B$7),0)),0)*'İşçilik Parametreleri'!$B$6,0))</f>
        <v>324.36099999999999</v>
      </c>
      <c r="AH57" s="70">
        <f t="shared" si="7"/>
        <v>12.21805</v>
      </c>
    </row>
    <row r="58" spans="1:34" ht="15" customHeight="1" x14ac:dyDescent="0.25">
      <c r="A58" s="67" t="s">
        <v>179</v>
      </c>
      <c r="B58" s="68" t="s">
        <v>439</v>
      </c>
      <c r="C58" s="69" t="s">
        <v>180</v>
      </c>
      <c r="D58" s="68" t="s">
        <v>93</v>
      </c>
      <c r="E58" s="68" t="s">
        <v>94</v>
      </c>
      <c r="F58" s="68">
        <v>2</v>
      </c>
      <c r="G58" s="68">
        <v>5</v>
      </c>
      <c r="H58" s="68">
        <v>12</v>
      </c>
      <c r="I58" s="68">
        <v>8</v>
      </c>
      <c r="J58" s="68">
        <v>14</v>
      </c>
      <c r="K58" s="70">
        <v>57.197000000000003</v>
      </c>
      <c r="L58" s="70">
        <v>57.371000000000002</v>
      </c>
      <c r="M58" s="71">
        <f t="shared" si="4"/>
        <v>3.042117593580074E-3</v>
      </c>
      <c r="N58" s="68">
        <v>22</v>
      </c>
      <c r="O58" s="68">
        <v>14</v>
      </c>
      <c r="P58" s="68">
        <v>8</v>
      </c>
      <c r="Q58" s="72">
        <v>8662</v>
      </c>
      <c r="R58" s="72">
        <v>0</v>
      </c>
      <c r="S58" s="72">
        <v>0</v>
      </c>
      <c r="T58" s="72">
        <v>0</v>
      </c>
      <c r="U58" s="72">
        <v>0</v>
      </c>
      <c r="V58" s="73">
        <f>SUM(Q58:U58)*'İşçilik Parametreleri'!$B$28/1000</f>
        <v>8.6620000000000008</v>
      </c>
      <c r="W58" s="70">
        <f>SUMIF('Büküm Parçaları'!$A$2:$A$213,A58,'Büküm Parçaları'!$I$2:$I$213)</f>
        <v>54.394999999999996</v>
      </c>
      <c r="X58" s="70">
        <f>(I58*'İşçilik Parametreleri'!$B$18+IF(L58&gt;'İşçilik Parametreleri'!$B$21,'İşçilik Parametreleri'!$B$20,'İşçilik Parametreleri'!$B$19)+N58*'İşçilik Parametreleri'!$B$22)*'İşçilik Parametreleri'!$B$23</f>
        <v>46.25</v>
      </c>
      <c r="Y58" s="70">
        <f>(IF('İşçilik Parametreleri'!$B$27="Resme göre",(Q58*INDEX('İşçilik Parametreleri'!$F$16:$I$20,1,MATCH('İşçilik Parametreleri'!$B$26,{"Manuel","Robot","HTD","Lazer"},0))+R58*INDEX('İşçilik Parametreleri'!$F$16:$I$20,2,MATCH('İşçilik Parametreleri'!$B$26,{"Manuel","Robot","HTD","Lazer"},0))+S58*INDEX('İşçilik Parametreleri'!$F$16:$I$20,3,MATCH('İşçilik Parametreleri'!$B$26,{"Manuel","Robot","HTD","Lazer"},0))+T58*INDEX('İşçilik Parametreleri'!$F$16:$I$20,4,MATCH('İşçilik Parametreleri'!$B$26,{"Manuel","Robot","HTD","Lazer"},0))+U58*INDEX('İşçilik Parametreleri'!$F$16:$I$20,5,MATCH('İşçilik Parametreleri'!$B$26,{"Manuel","Robot","HTD","Lazer"},0))),SUM(Q58:U58)*INDEX('İşçilik Parametreleri'!$F$16:$I$20,MATCH(VALUE('İşçilik Parametreleri'!$B$27),'İşçilik Parametreleri'!$E$16:$E$20,0),MATCH('İşçilik Parametreleri'!$B$26,{"Manuel","Robot","HTD","Lazer"},0)))*'İşçilik Parametreleri'!$B$28/1000+O58*IF(OR('İşçilik Parametreleri'!$B$26="Robot",'İşçilik Parametreleri'!$B$26="HTD"),'İşçilik Parametreleri'!$B$30,'İşçilik Parametreleri'!$B$29))*'İşçilik Parametreleri'!$B$31</f>
        <v>74.634</v>
      </c>
      <c r="Z58" s="74">
        <f t="shared" si="5"/>
        <v>105.1674</v>
      </c>
      <c r="AA58" s="75" t="s">
        <v>94</v>
      </c>
      <c r="AB58" s="76">
        <v>4</v>
      </c>
      <c r="AC58" s="77">
        <f>IF(AA58="Kataforez",N(AB58),IF(AA58="Yaş boya",'İşçilik Parametreleri'!$B$6/MAX(1,ROUND(IF(ISNUMBER(AB58),AB58,'İşçilik Parametreleri'!$B$7),0)),0))</f>
        <v>4</v>
      </c>
      <c r="AD58" s="78">
        <f>W58/100*'İşçilik Parametreleri'!$B$9+X58/100*'İşçilik Parametreleri'!$B$17+Y58/100*'İşçilik Parametreleri'!$B$25</f>
        <v>35.055799999999998</v>
      </c>
      <c r="AE58" s="78">
        <f t="shared" si="6"/>
        <v>39.055799999999998</v>
      </c>
      <c r="AF58" s="75">
        <v>10</v>
      </c>
      <c r="AG58" s="79">
        <f>AD58*AF58+IF(AA58="Kataforez",N(AB58)*AF58,IF(AA58="Yaş boya",ROUNDUP(AF58/MAX(1,ROUND(IF(ISNUMBER(AB58),AB58,'İşçilik Parametreleri'!$B$7),0)),0)*'İşçilik Parametreleri'!$B$6,0))</f>
        <v>390.55799999999999</v>
      </c>
      <c r="AH58" s="70">
        <f t="shared" si="7"/>
        <v>17.527899999999999</v>
      </c>
    </row>
    <row r="59" spans="1:34" ht="15" customHeight="1" x14ac:dyDescent="0.25">
      <c r="A59" s="82" t="s">
        <v>495</v>
      </c>
      <c r="B59" s="68" t="s">
        <v>439</v>
      </c>
      <c r="C59" s="69" t="s">
        <v>183</v>
      </c>
      <c r="D59" s="68" t="s">
        <v>117</v>
      </c>
      <c r="E59" s="68" t="s">
        <v>442</v>
      </c>
      <c r="F59" s="68">
        <v>1</v>
      </c>
      <c r="G59" s="68">
        <v>3</v>
      </c>
      <c r="H59" s="68">
        <v>11</v>
      </c>
      <c r="I59" s="68">
        <v>11</v>
      </c>
      <c r="J59" s="68">
        <v>3</v>
      </c>
      <c r="K59" s="70">
        <v>8.8360000000000003</v>
      </c>
      <c r="L59" s="70">
        <v>8.86</v>
      </c>
      <c r="M59" s="71">
        <f t="shared" si="4"/>
        <v>2.7161611588953295E-3</v>
      </c>
      <c r="N59" s="68">
        <v>18</v>
      </c>
      <c r="O59" s="68">
        <v>14</v>
      </c>
      <c r="P59" s="68">
        <v>4</v>
      </c>
      <c r="Q59" s="72">
        <v>3350</v>
      </c>
      <c r="R59" s="72">
        <v>0</v>
      </c>
      <c r="S59" s="72">
        <v>0</v>
      </c>
      <c r="T59" s="72">
        <v>0</v>
      </c>
      <c r="U59" s="72">
        <v>0</v>
      </c>
      <c r="V59" s="73">
        <f>SUM(Q59:U59)*'İşçilik Parametreleri'!$B$28/1000</f>
        <v>3.35</v>
      </c>
      <c r="W59" s="70">
        <f>SUMIF('Büküm Parçaları'!$A$2:$A$213,A59,'Büküm Parçaları'!$I$2:$I$213)</f>
        <v>13.02375</v>
      </c>
      <c r="X59" s="70">
        <f>(I59*'İşçilik Parametreleri'!$B$18+IF(L59&gt;'İşçilik Parametreleri'!$B$21,'İşçilik Parametreleri'!$B$20,'İşçilik Parametreleri'!$B$19)+N59*'İşçilik Parametreleri'!$B$22)*'İşçilik Parametreleri'!$B$23</f>
        <v>40.412499999999994</v>
      </c>
      <c r="Y59" s="70">
        <f>(IF('İşçilik Parametreleri'!$B$27="Resme göre",(Q59*INDEX('İşçilik Parametreleri'!$F$16:$I$20,1,MATCH('İşçilik Parametreleri'!$B$26,{"Manuel","Robot","HTD","Lazer"},0))+R59*INDEX('İşçilik Parametreleri'!$F$16:$I$20,2,MATCH('İşçilik Parametreleri'!$B$26,{"Manuel","Robot","HTD","Lazer"},0))+S59*INDEX('İşçilik Parametreleri'!$F$16:$I$20,3,MATCH('İşçilik Parametreleri'!$B$26,{"Manuel","Robot","HTD","Lazer"},0))+T59*INDEX('İşçilik Parametreleri'!$F$16:$I$20,4,MATCH('İşçilik Parametreleri'!$B$26,{"Manuel","Robot","HTD","Lazer"},0))+U59*INDEX('İşçilik Parametreleri'!$F$16:$I$20,5,MATCH('İşçilik Parametreleri'!$B$26,{"Manuel","Robot","HTD","Lazer"},0))),SUM(Q59:U59)*INDEX('İşçilik Parametreleri'!$F$16:$I$20,MATCH(VALUE('İşçilik Parametreleri'!$B$27),'İşçilik Parametreleri'!$E$16:$E$20,0),MATCH('İşçilik Parametreleri'!$B$26,{"Manuel","Robot","HTD","Lazer"},0)))*'İşçilik Parametreleri'!$B$28/1000+O59*IF(OR('İşçilik Parametreleri'!$B$26="Robot",'İşçilik Parametreleri'!$B$26="HTD"),'İşçilik Parametreleri'!$B$30,'İşçilik Parametreleri'!$B$29))*'İşçilik Parametreleri'!$B$31</f>
        <v>37.450000000000003</v>
      </c>
      <c r="Z59" s="74">
        <f t="shared" si="5"/>
        <v>54.531749999999995</v>
      </c>
      <c r="AA59" s="75" t="s">
        <v>86</v>
      </c>
      <c r="AB59" s="76">
        <v>10000</v>
      </c>
      <c r="AC59" s="77">
        <f>IF(AA59="Kataforez",N(AB59),IF(AA59="Yaş boya",'İşçilik Parametreleri'!$B$6/MAX(1,ROUND(IF(ISNUMBER(AB59),AB59,'İşçilik Parametreleri'!$B$7),0)),0))</f>
        <v>8.0000000000000002E-3</v>
      </c>
      <c r="AD59" s="78">
        <f>W59/100*'İşçilik Parametreleri'!$B$9+X59/100*'İşçilik Parametreleri'!$B$17+Y59/100*'İşçilik Parametreleri'!$B$25</f>
        <v>18.177250000000001</v>
      </c>
      <c r="AE59" s="78">
        <f t="shared" si="6"/>
        <v>18.18525</v>
      </c>
      <c r="AF59" s="75">
        <v>13</v>
      </c>
      <c r="AG59" s="79">
        <f>AD59*AF59+IF(AA59="Kataforez",N(AB59)*AF59,IF(AA59="Yaş boya",ROUNDUP(AF59/MAX(1,ROUND(IF(ISNUMBER(AB59),AB59,'İşçilik Parametreleri'!$B$7),0)),0)*'İşçilik Parametreleri'!$B$6,0))</f>
        <v>316.30425000000002</v>
      </c>
      <c r="AH59" s="70">
        <f t="shared" si="7"/>
        <v>11.815212499999998</v>
      </c>
    </row>
    <row r="60" spans="1:34" ht="15" customHeight="1" x14ac:dyDescent="0.25">
      <c r="A60" s="67" t="s">
        <v>496</v>
      </c>
      <c r="B60" s="68" t="s">
        <v>439</v>
      </c>
      <c r="C60" s="69" t="s">
        <v>185</v>
      </c>
      <c r="D60" s="68" t="s">
        <v>148</v>
      </c>
      <c r="E60" s="68" t="s">
        <v>478</v>
      </c>
      <c r="F60" s="68">
        <v>1</v>
      </c>
      <c r="G60" s="68">
        <v>3</v>
      </c>
      <c r="H60" s="68">
        <v>5</v>
      </c>
      <c r="I60" s="68">
        <v>5</v>
      </c>
      <c r="J60" s="68">
        <v>2</v>
      </c>
      <c r="K60" s="70">
        <v>18.22</v>
      </c>
      <c r="L60" s="70">
        <v>18.273</v>
      </c>
      <c r="M60" s="71">
        <f t="shared" si="4"/>
        <v>2.908891328210803E-3</v>
      </c>
      <c r="N60" s="68">
        <v>4</v>
      </c>
      <c r="O60" s="68">
        <v>4</v>
      </c>
      <c r="P60" s="68">
        <v>0</v>
      </c>
      <c r="Q60" s="72">
        <v>1134</v>
      </c>
      <c r="R60" s="72">
        <v>0</v>
      </c>
      <c r="S60" s="72">
        <v>0</v>
      </c>
      <c r="T60" s="72">
        <v>0</v>
      </c>
      <c r="U60" s="72">
        <v>0</v>
      </c>
      <c r="V60" s="73">
        <f>SUM(Q60:U60)*'İşçilik Parametreleri'!$B$28/1000</f>
        <v>1.1339999999999999</v>
      </c>
      <c r="W60" s="70">
        <f>SUMIF('Büküm Parçaları'!$A$2:$A$213,A60,'Büküm Parçaları'!$I$2:$I$213)</f>
        <v>11.873750000000001</v>
      </c>
      <c r="X60" s="70">
        <f>(I60*'İşçilik Parametreleri'!$B$18+IF(L60&gt;'İşçilik Parametreleri'!$B$21,'İşçilik Parametreleri'!$B$20,'İşçilik Parametreleri'!$B$19)+N60*'İşçilik Parametreleri'!$B$22)*'İşçilik Parametreleri'!$B$23</f>
        <v>15.4125</v>
      </c>
      <c r="Y60" s="70">
        <f>(IF('İşçilik Parametreleri'!$B$27="Resme göre",(Q60*INDEX('İşçilik Parametreleri'!$F$16:$I$20,1,MATCH('İşçilik Parametreleri'!$B$26,{"Manuel","Robot","HTD","Lazer"},0))+R60*INDEX('İşçilik Parametreleri'!$F$16:$I$20,2,MATCH('İşçilik Parametreleri'!$B$26,{"Manuel","Robot","HTD","Lazer"},0))+S60*INDEX('İşçilik Parametreleri'!$F$16:$I$20,3,MATCH('İşçilik Parametreleri'!$B$26,{"Manuel","Robot","HTD","Lazer"},0))+T60*INDEX('İşçilik Parametreleri'!$F$16:$I$20,4,MATCH('İşçilik Parametreleri'!$B$26,{"Manuel","Robot","HTD","Lazer"},0))+U60*INDEX('İşçilik Parametreleri'!$F$16:$I$20,5,MATCH('İşçilik Parametreleri'!$B$26,{"Manuel","Robot","HTD","Lazer"},0))),SUM(Q60:U60)*INDEX('İşçilik Parametreleri'!$F$16:$I$20,MATCH(VALUE('İşçilik Parametreleri'!$B$27),'İşçilik Parametreleri'!$E$16:$E$20,0),MATCH('İşçilik Parametreleri'!$B$26,{"Manuel","Robot","HTD","Lazer"},0)))*'İşçilik Parametreleri'!$B$28/1000+O60*IF(OR('İşçilik Parametreleri'!$B$26="Robot",'İşçilik Parametreleri'!$B$26="HTD"),'İşçilik Parametreleri'!$B$30,'İşçilik Parametreleri'!$B$29))*'İşçilik Parametreleri'!$B$31</f>
        <v>11.937999999999999</v>
      </c>
      <c r="Z60" s="74">
        <f t="shared" si="5"/>
        <v>23.534549999999999</v>
      </c>
      <c r="AA60" s="75" t="s">
        <v>86</v>
      </c>
      <c r="AB60" s="76">
        <v>10000</v>
      </c>
      <c r="AC60" s="77">
        <f>IF(AA60="Kataforez",N(AB60),IF(AA60="Yaş boya",'İşçilik Parametreleri'!$B$6/MAX(1,ROUND(IF(ISNUMBER(AB60),AB60,'İşçilik Parametreleri'!$B$7),0)),0))</f>
        <v>8.0000000000000002E-3</v>
      </c>
      <c r="AD60" s="78">
        <f>W60/100*'İşçilik Parametreleri'!$B$9+X60/100*'İşçilik Parametreleri'!$B$17+Y60/100*'İşçilik Parametreleri'!$B$25</f>
        <v>7.8448500000000001</v>
      </c>
      <c r="AE60" s="78">
        <f t="shared" si="6"/>
        <v>7.8528500000000001</v>
      </c>
      <c r="AF60" s="75">
        <v>27</v>
      </c>
      <c r="AG60" s="79">
        <f>AD60*AF60+IF(AA60="Kataforez",N(AB60)*AF60,IF(AA60="Yaş boya",ROUNDUP(AF60/MAX(1,ROUND(IF(ISNUMBER(AB60),AB60,'İşçilik Parametreleri'!$B$7),0)),0)*'İşçilik Parametreleri'!$B$6,0))</f>
        <v>291.81094999999999</v>
      </c>
      <c r="AH60" s="70">
        <f t="shared" si="7"/>
        <v>10.5905475</v>
      </c>
    </row>
    <row r="61" spans="1:34" ht="15" customHeight="1" x14ac:dyDescent="0.25">
      <c r="A61" s="82" t="s">
        <v>497</v>
      </c>
      <c r="B61" s="68" t="s">
        <v>439</v>
      </c>
      <c r="C61" s="69" t="s">
        <v>186</v>
      </c>
      <c r="D61" s="68" t="s">
        <v>156</v>
      </c>
      <c r="E61" s="68" t="s">
        <v>442</v>
      </c>
      <c r="F61" s="68">
        <v>1</v>
      </c>
      <c r="G61" s="68">
        <v>3</v>
      </c>
      <c r="H61" s="68">
        <v>4</v>
      </c>
      <c r="I61" s="68">
        <v>4</v>
      </c>
      <c r="J61" s="68">
        <v>1</v>
      </c>
      <c r="K61" s="70">
        <v>10.375</v>
      </c>
      <c r="L61" s="70">
        <v>10.164999999999999</v>
      </c>
      <c r="M61" s="71">
        <f t="shared" si="4"/>
        <v>-2.0240963855421769E-2</v>
      </c>
      <c r="N61" s="68">
        <v>5</v>
      </c>
      <c r="O61" s="68">
        <v>5</v>
      </c>
      <c r="P61" s="68">
        <v>0</v>
      </c>
      <c r="Q61" s="72">
        <v>0</v>
      </c>
      <c r="R61" s="72">
        <v>600</v>
      </c>
      <c r="S61" s="72">
        <v>0</v>
      </c>
      <c r="T61" s="72">
        <v>0</v>
      </c>
      <c r="U61" s="72">
        <v>0</v>
      </c>
      <c r="V61" s="73">
        <f>SUM(Q61:U61)*'İşçilik Parametreleri'!$B$28/1000</f>
        <v>0.6</v>
      </c>
      <c r="W61" s="70">
        <f>SUMIF('Büküm Parçaları'!$A$2:$A$213,A61,'Büküm Parçaları'!$I$2:$I$213)</f>
        <v>10.723750000000001</v>
      </c>
      <c r="X61" s="70">
        <f>(I61*'İşçilik Parametreleri'!$B$18+IF(L61&gt;'İşçilik Parametreleri'!$B$21,'İşçilik Parametreleri'!$B$20,'İşçilik Parametreleri'!$B$19)+N61*'İşçilik Parametreleri'!$B$22)*'İşçilik Parametreleri'!$B$23</f>
        <v>15.4125</v>
      </c>
      <c r="Y61" s="70">
        <f>(IF('İşçilik Parametreleri'!$B$27="Resme göre",(Q61*INDEX('İşçilik Parametreleri'!$F$16:$I$20,1,MATCH('İşçilik Parametreleri'!$B$26,{"Manuel","Robot","HTD","Lazer"},0))+R61*INDEX('İşçilik Parametreleri'!$F$16:$I$20,2,MATCH('İşçilik Parametreleri'!$B$26,{"Manuel","Robot","HTD","Lazer"},0))+S61*INDEX('İşçilik Parametreleri'!$F$16:$I$20,3,MATCH('İşçilik Parametreleri'!$B$26,{"Manuel","Robot","HTD","Lazer"},0))+T61*INDEX('İşçilik Parametreleri'!$F$16:$I$20,4,MATCH('İşçilik Parametreleri'!$B$26,{"Manuel","Robot","HTD","Lazer"},0))+U61*INDEX('İşçilik Parametreleri'!$F$16:$I$20,5,MATCH('İşçilik Parametreleri'!$B$26,{"Manuel","Robot","HTD","Lazer"},0))),SUM(Q61:U61)*INDEX('İşçilik Parametreleri'!$F$16:$I$20,MATCH(VALUE('İşçilik Parametreleri'!$B$27),'İşçilik Parametreleri'!$E$16:$E$20,0),MATCH('İşçilik Parametreleri'!$B$26,{"Manuel","Robot","HTD","Lazer"},0)))*'İşçilik Parametreleri'!$B$28/1000+O61*IF(OR('İşçilik Parametreleri'!$B$26="Robot",'İşçilik Parametreleri'!$B$26="HTD"),'İşçilik Parametreleri'!$B$30,'İşçilik Parametreleri'!$B$29))*'İşçilik Parametreleri'!$B$31</f>
        <v>11.6</v>
      </c>
      <c r="Z61" s="74">
        <f t="shared" si="5"/>
        <v>22.641749999999998</v>
      </c>
      <c r="AA61" s="75" t="s">
        <v>86</v>
      </c>
      <c r="AB61" s="76">
        <v>10000</v>
      </c>
      <c r="AC61" s="77">
        <f>IF(AA61="Kataforez",N(AB61),IF(AA61="Yaş boya",'İşçilik Parametreleri'!$B$6/MAX(1,ROUND(IF(ISNUMBER(AB61),AB61,'İşçilik Parametreleri'!$B$7),0)),0))</f>
        <v>8.0000000000000002E-3</v>
      </c>
      <c r="AD61" s="78">
        <f>W61/100*'İşçilik Parametreleri'!$B$9+X61/100*'İşçilik Parametreleri'!$B$17+Y61/100*'İşçilik Parametreleri'!$B$25</f>
        <v>7.54725</v>
      </c>
      <c r="AE61" s="78">
        <f t="shared" si="6"/>
        <v>7.55525</v>
      </c>
      <c r="AF61" s="75">
        <v>27</v>
      </c>
      <c r="AG61" s="79">
        <f>AD61*AF61+IF(AA61="Kataforez",N(AB61)*AF61,IF(AA61="Yaş boya",ROUNDUP(AF61/MAX(1,ROUND(IF(ISNUMBER(AB61),AB61,'İşçilik Parametreleri'!$B$7),0)),0)*'İşçilik Parametreleri'!$B$6,0))</f>
        <v>283.77575000000002</v>
      </c>
      <c r="AH61" s="70">
        <f t="shared" si="7"/>
        <v>10.1887875</v>
      </c>
    </row>
    <row r="62" spans="1:34" ht="15" customHeight="1" x14ac:dyDescent="0.25">
      <c r="A62" s="82" t="s">
        <v>498</v>
      </c>
      <c r="B62" s="80" t="s">
        <v>23</v>
      </c>
      <c r="C62" s="81" t="s">
        <v>187</v>
      </c>
      <c r="D62" s="68" t="s">
        <v>119</v>
      </c>
      <c r="E62" s="68" t="s">
        <v>447</v>
      </c>
      <c r="F62" s="68">
        <v>1</v>
      </c>
      <c r="G62" s="68">
        <v>2</v>
      </c>
      <c r="H62" s="68">
        <v>2</v>
      </c>
      <c r="I62" s="68">
        <v>2</v>
      </c>
      <c r="J62" s="68">
        <v>2</v>
      </c>
      <c r="K62" s="70">
        <v>3.121</v>
      </c>
      <c r="L62" s="70">
        <v>3.1320000000000001</v>
      </c>
      <c r="M62" s="71">
        <f t="shared" si="4"/>
        <v>3.5245113745594747E-3</v>
      </c>
      <c r="N62" s="68">
        <v>2</v>
      </c>
      <c r="O62" s="68">
        <v>2</v>
      </c>
      <c r="P62" s="68">
        <v>0</v>
      </c>
      <c r="Q62" s="72">
        <v>0</v>
      </c>
      <c r="R62" s="72">
        <v>150</v>
      </c>
      <c r="S62" s="72">
        <v>0</v>
      </c>
      <c r="T62" s="72">
        <v>0</v>
      </c>
      <c r="U62" s="72">
        <v>0</v>
      </c>
      <c r="V62" s="73">
        <f>SUM(Q62:U62)*'İşçilik Parametreleri'!$B$28/1000</f>
        <v>0.15</v>
      </c>
      <c r="W62" s="70">
        <f>SUMIF('Büküm Parçaları'!$A$2:$A$213,A62,'Büküm Parçaları'!$I$2:$I$213)</f>
        <v>6.5549999999999997</v>
      </c>
      <c r="X62" s="70">
        <f>(I62*'İşçilik Parametreleri'!$B$18+IF(L62&gt;'İşçilik Parametreleri'!$B$21,'İşçilik Parametreleri'!$B$20,'İşçilik Parametreleri'!$B$19)+N62*'İşçilik Parametreleri'!$B$22)*'İşçilik Parametreleri'!$B$23</f>
        <v>9.1624999999999996</v>
      </c>
      <c r="Y62" s="70">
        <f>(IF('İşçilik Parametreleri'!$B$27="Resme göre",(Q62*INDEX('İşçilik Parametreleri'!$F$16:$I$20,1,MATCH('İşçilik Parametreleri'!$B$26,{"Manuel","Robot","HTD","Lazer"},0))+R62*INDEX('İşçilik Parametreleri'!$F$16:$I$20,2,MATCH('İşçilik Parametreleri'!$B$26,{"Manuel","Robot","HTD","Lazer"},0))+S62*INDEX('İşçilik Parametreleri'!$F$16:$I$20,3,MATCH('İşçilik Parametreleri'!$B$26,{"Manuel","Robot","HTD","Lazer"},0))+T62*INDEX('İşçilik Parametreleri'!$F$16:$I$20,4,MATCH('İşçilik Parametreleri'!$B$26,{"Manuel","Robot","HTD","Lazer"},0))+U62*INDEX('İşçilik Parametreleri'!$F$16:$I$20,5,MATCH('İşçilik Parametreleri'!$B$26,{"Manuel","Robot","HTD","Lazer"},0))),SUM(Q62:U62)*INDEX('İşçilik Parametreleri'!$F$16:$I$20,MATCH(VALUE('İşçilik Parametreleri'!$B$27),'İşçilik Parametreleri'!$E$16:$E$20,0),MATCH('İşçilik Parametreleri'!$B$26,{"Manuel","Robot","HTD","Lazer"},0)))*'İşçilik Parametreleri'!$B$28/1000+O62*IF(OR('İşçilik Parametreleri'!$B$26="Robot",'İşçilik Parametreleri'!$B$26="HTD"),'İşçilik Parametreleri'!$B$30,'İşçilik Parametreleri'!$B$29))*'İşçilik Parametreleri'!$B$31</f>
        <v>3.65</v>
      </c>
      <c r="Z62" s="74">
        <f t="shared" si="5"/>
        <v>11.6205</v>
      </c>
      <c r="AA62" s="75" t="s">
        <v>86</v>
      </c>
      <c r="AB62" s="76">
        <v>10000</v>
      </c>
      <c r="AC62" s="77">
        <f>IF(AA62="Kataforez",N(AB62),IF(AA62="Yaş boya",'İşçilik Parametreleri'!$B$6/MAX(1,ROUND(IF(ISNUMBER(AB62),AB62,'İşçilik Parametreleri'!$B$7),0)),0))</f>
        <v>8.0000000000000002E-3</v>
      </c>
      <c r="AD62" s="78">
        <f>W62/100*'İşçilik Parametreleri'!$B$9+X62/100*'İşçilik Parametreleri'!$B$17+Y62/100*'İşçilik Parametreleri'!$B$25</f>
        <v>3.8734999999999999</v>
      </c>
      <c r="AE62" s="78">
        <f t="shared" si="6"/>
        <v>3.8815</v>
      </c>
      <c r="AF62" s="75">
        <v>50</v>
      </c>
      <c r="AG62" s="79">
        <f>AD62*AF62+IF(AA62="Kataforez",N(AB62)*AF62,IF(AA62="Yaş boya",ROUNDUP(AF62/MAX(1,ROUND(IF(ISNUMBER(AB62),AB62,'İşçilik Parametreleri'!$B$7),0)),0)*'İşçilik Parametreleri'!$B$6,0))</f>
        <v>273.67500000000001</v>
      </c>
      <c r="AH62" s="70">
        <f t="shared" si="7"/>
        <v>9.6837499999999999</v>
      </c>
    </row>
    <row r="63" spans="1:34" ht="15" customHeight="1" x14ac:dyDescent="0.25">
      <c r="A63" s="82" t="s">
        <v>499</v>
      </c>
      <c r="B63" s="80" t="s">
        <v>23</v>
      </c>
      <c r="C63" s="81" t="s">
        <v>188</v>
      </c>
      <c r="D63" s="68" t="s">
        <v>119</v>
      </c>
      <c r="E63" s="68" t="s">
        <v>442</v>
      </c>
      <c r="F63" s="68">
        <v>1</v>
      </c>
      <c r="G63" s="68">
        <v>2</v>
      </c>
      <c r="H63" s="68">
        <v>2</v>
      </c>
      <c r="I63" s="68">
        <v>2</v>
      </c>
      <c r="J63" s="68">
        <v>2</v>
      </c>
      <c r="K63" s="70">
        <v>3.246</v>
      </c>
      <c r="L63" s="70">
        <v>3.2480000000000002</v>
      </c>
      <c r="M63" s="71">
        <f t="shared" si="4"/>
        <v>6.1614294516334686E-4</v>
      </c>
      <c r="N63" s="68">
        <v>1</v>
      </c>
      <c r="O63" s="68">
        <v>1</v>
      </c>
      <c r="P63" s="68">
        <v>0</v>
      </c>
      <c r="Q63" s="72">
        <v>300</v>
      </c>
      <c r="R63" s="72">
        <v>0</v>
      </c>
      <c r="S63" s="72">
        <v>0</v>
      </c>
      <c r="T63" s="72">
        <v>0</v>
      </c>
      <c r="U63" s="72">
        <v>0</v>
      </c>
      <c r="V63" s="73">
        <f>SUM(Q63:U63)*'İşçilik Parametreleri'!$B$28/1000</f>
        <v>0.3</v>
      </c>
      <c r="W63" s="70">
        <f>SUMIF('Büküm Parçaları'!$A$2:$A$213,A63,'Büküm Parçaları'!$I$2:$I$213)</f>
        <v>6.5549999999999997</v>
      </c>
      <c r="X63" s="70">
        <f>(I63*'İşçilik Parametreleri'!$B$18+IF(L63&gt;'İşçilik Parametreleri'!$B$21,'İşçilik Parametreleri'!$B$20,'İşçilik Parametreleri'!$B$19)+N63*'İşçilik Parametreleri'!$B$22)*'İşçilik Parametreleri'!$B$23</f>
        <v>7.9124999999999996</v>
      </c>
      <c r="Y63" s="70">
        <f>(IF('İşçilik Parametreleri'!$B$27="Resme göre",(Q63*INDEX('İşçilik Parametreleri'!$F$16:$I$20,1,MATCH('İşçilik Parametreleri'!$B$26,{"Manuel","Robot","HTD","Lazer"},0))+R63*INDEX('İşçilik Parametreleri'!$F$16:$I$20,2,MATCH('İşçilik Parametreleri'!$B$26,{"Manuel","Robot","HTD","Lazer"},0))+S63*INDEX('İşçilik Parametreleri'!$F$16:$I$20,3,MATCH('İşçilik Parametreleri'!$B$26,{"Manuel","Robot","HTD","Lazer"},0))+T63*INDEX('İşçilik Parametreleri'!$F$16:$I$20,4,MATCH('İşçilik Parametreleri'!$B$26,{"Manuel","Robot","HTD","Lazer"},0))+U63*INDEX('İşçilik Parametreleri'!$F$16:$I$20,5,MATCH('İşçilik Parametreleri'!$B$26,{"Manuel","Robot","HTD","Lazer"},0))),SUM(Q63:U63)*INDEX('İşçilik Parametreleri'!$F$16:$I$20,MATCH(VALUE('İşçilik Parametreleri'!$B$27),'İşçilik Parametreleri'!$E$16:$E$20,0),MATCH('İşçilik Parametreleri'!$B$26,{"Manuel","Robot","HTD","Lazer"},0)))*'İşçilik Parametreleri'!$B$28/1000+O63*IF(OR('İşçilik Parametreleri'!$B$26="Robot",'İşçilik Parametreleri'!$B$26="HTD"),'İşçilik Parametreleri'!$B$30,'İşçilik Parametreleri'!$B$29))*'İşçilik Parametreleri'!$B$31</f>
        <v>3.1</v>
      </c>
      <c r="Z63" s="74">
        <f t="shared" si="5"/>
        <v>10.5405</v>
      </c>
      <c r="AA63" s="75" t="s">
        <v>86</v>
      </c>
      <c r="AB63" s="76">
        <v>10000</v>
      </c>
      <c r="AC63" s="77">
        <f>IF(AA63="Kataforez",N(AB63),IF(AA63="Yaş boya",'İşçilik Parametreleri'!$B$6/MAX(1,ROUND(IF(ISNUMBER(AB63),AB63,'İşçilik Parametreleri'!$B$7),0)),0))</f>
        <v>8.0000000000000002E-3</v>
      </c>
      <c r="AD63" s="78">
        <f>W63/100*'İşçilik Parametreleri'!$B$9+X63/100*'İşçilik Parametreleri'!$B$17+Y63/100*'İşçilik Parametreleri'!$B$25</f>
        <v>3.5135000000000001</v>
      </c>
      <c r="AE63" s="78">
        <f t="shared" si="6"/>
        <v>3.5215000000000001</v>
      </c>
      <c r="AF63" s="75">
        <v>55</v>
      </c>
      <c r="AG63" s="79">
        <f>AD63*AF63+IF(AA63="Kataforez",N(AB63)*AF63,IF(AA63="Yaş boya",ROUNDUP(AF63/MAX(1,ROUND(IF(ISNUMBER(AB63),AB63,'İşçilik Parametreleri'!$B$7),0)),0)*'İşçilik Parametreleri'!$B$6,0))</f>
        <v>273.24250000000001</v>
      </c>
      <c r="AH63" s="70">
        <f t="shared" si="7"/>
        <v>9.6621249999999996</v>
      </c>
    </row>
    <row r="64" spans="1:34" ht="15" customHeight="1" x14ac:dyDescent="0.25">
      <c r="A64" s="82" t="s">
        <v>500</v>
      </c>
      <c r="B64" s="80" t="s">
        <v>23</v>
      </c>
      <c r="C64" s="81" t="s">
        <v>189</v>
      </c>
      <c r="D64" s="68" t="s">
        <v>190</v>
      </c>
      <c r="E64" s="68" t="s">
        <v>442</v>
      </c>
      <c r="F64" s="68">
        <v>1</v>
      </c>
      <c r="G64" s="68">
        <v>2</v>
      </c>
      <c r="H64" s="68">
        <v>2</v>
      </c>
      <c r="I64" s="68">
        <v>2</v>
      </c>
      <c r="J64" s="68">
        <v>1</v>
      </c>
      <c r="K64" s="70">
        <v>0.80100000000000005</v>
      </c>
      <c r="L64" s="70">
        <v>0.80100000000000005</v>
      </c>
      <c r="M64" s="71">
        <f t="shared" si="4"/>
        <v>0</v>
      </c>
      <c r="N64" s="68">
        <v>2</v>
      </c>
      <c r="O64" s="68">
        <v>2</v>
      </c>
      <c r="P64" s="68">
        <v>0</v>
      </c>
      <c r="Q64" s="72">
        <v>120</v>
      </c>
      <c r="R64" s="72">
        <v>0</v>
      </c>
      <c r="S64" s="72">
        <v>0</v>
      </c>
      <c r="T64" s="72">
        <v>0</v>
      </c>
      <c r="U64" s="72">
        <v>0</v>
      </c>
      <c r="V64" s="73">
        <f>SUM(Q64:U64)*'İşçilik Parametreleri'!$B$28/1000</f>
        <v>0.12</v>
      </c>
      <c r="W64" s="70">
        <f>SUMIF('Büküm Parçaları'!$A$2:$A$213,A64,'Büküm Parçaları'!$I$2:$I$213)</f>
        <v>5.4049999999999994</v>
      </c>
      <c r="X64" s="70">
        <f>(I64*'İşçilik Parametreleri'!$B$18+IF(L64&gt;'İşçilik Parametreleri'!$B$21,'İşçilik Parametreleri'!$B$20,'İşçilik Parametreleri'!$B$19)+N64*'İşçilik Parametreleri'!$B$22)*'İşçilik Parametreleri'!$B$23</f>
        <v>9.1624999999999996</v>
      </c>
      <c r="Y64" s="70">
        <f>(IF('İşçilik Parametreleri'!$B$27="Resme göre",(Q64*INDEX('İşçilik Parametreleri'!$F$16:$I$20,1,MATCH('İşçilik Parametreleri'!$B$26,{"Manuel","Robot","HTD","Lazer"},0))+R64*INDEX('İşçilik Parametreleri'!$F$16:$I$20,2,MATCH('İşçilik Parametreleri'!$B$26,{"Manuel","Robot","HTD","Lazer"},0))+S64*INDEX('İşçilik Parametreleri'!$F$16:$I$20,3,MATCH('İşçilik Parametreleri'!$B$26,{"Manuel","Robot","HTD","Lazer"},0))+T64*INDEX('İşçilik Parametreleri'!$F$16:$I$20,4,MATCH('İşçilik Parametreleri'!$B$26,{"Manuel","Robot","HTD","Lazer"},0))+U64*INDEX('İşçilik Parametreleri'!$F$16:$I$20,5,MATCH('İşçilik Parametreleri'!$B$26,{"Manuel","Robot","HTD","Lazer"},0))),SUM(Q64:U64)*INDEX('İşçilik Parametreleri'!$F$16:$I$20,MATCH(VALUE('İşçilik Parametreleri'!$B$27),'İşçilik Parametreleri'!$E$16:$E$20,0),MATCH('İşçilik Parametreleri'!$B$26,{"Manuel","Robot","HTD","Lazer"},0)))*'İşçilik Parametreleri'!$B$28/1000+O64*IF(OR('İşçilik Parametreleri'!$B$26="Robot",'İşçilik Parametreleri'!$B$26="HTD"),'İşçilik Parametreleri'!$B$30,'İşçilik Parametreleri'!$B$29))*'İşçilik Parametreleri'!$B$31</f>
        <v>2.84</v>
      </c>
      <c r="Z64" s="74">
        <f t="shared" si="5"/>
        <v>10.4445</v>
      </c>
      <c r="AA64" s="75" t="s">
        <v>86</v>
      </c>
      <c r="AB64" s="76">
        <v>10000</v>
      </c>
      <c r="AC64" s="77">
        <f>IF(AA64="Kataforez",N(AB64),IF(AA64="Yaş boya",'İşçilik Parametreleri'!$B$6/MAX(1,ROUND(IF(ISNUMBER(AB64),AB64,'İşçilik Parametreleri'!$B$7),0)),0))</f>
        <v>8.0000000000000002E-3</v>
      </c>
      <c r="AD64" s="78">
        <f>W64/100*'İşçilik Parametreleri'!$B$9+X64/100*'İşçilik Parametreleri'!$B$17+Y64/100*'İşçilik Parametreleri'!$B$25</f>
        <v>3.4815</v>
      </c>
      <c r="AE64" s="78">
        <f t="shared" si="6"/>
        <v>3.4895</v>
      </c>
      <c r="AF64" s="75">
        <v>55</v>
      </c>
      <c r="AG64" s="79">
        <f>AD64*AF64+IF(AA64="Kataforez",N(AB64)*AF64,IF(AA64="Yaş boya",ROUNDUP(AF64/MAX(1,ROUND(IF(ISNUMBER(AB64),AB64,'İşçilik Parametreleri'!$B$7),0)),0)*'İşçilik Parametreleri'!$B$6,0))</f>
        <v>271.48250000000002</v>
      </c>
      <c r="AH64" s="70">
        <f t="shared" si="7"/>
        <v>9.5741249999999987</v>
      </c>
    </row>
    <row r="65" spans="1:34" ht="15" customHeight="1" x14ac:dyDescent="0.25">
      <c r="A65" s="82" t="s">
        <v>501</v>
      </c>
      <c r="B65" s="80" t="s">
        <v>23</v>
      </c>
      <c r="C65" s="81" t="s">
        <v>192</v>
      </c>
      <c r="D65" s="68" t="s">
        <v>107</v>
      </c>
      <c r="E65" s="68" t="s">
        <v>442</v>
      </c>
      <c r="F65" s="68">
        <v>1</v>
      </c>
      <c r="G65" s="68">
        <v>2</v>
      </c>
      <c r="H65" s="68">
        <v>2</v>
      </c>
      <c r="I65" s="68">
        <v>2</v>
      </c>
      <c r="J65" s="68">
        <v>1</v>
      </c>
      <c r="K65" s="70">
        <v>3.8690000000000002</v>
      </c>
      <c r="L65" s="70">
        <v>3.8559999999999999</v>
      </c>
      <c r="M65" s="71">
        <f t="shared" si="4"/>
        <v>-3.3600413543552195E-3</v>
      </c>
      <c r="N65" s="68">
        <v>2</v>
      </c>
      <c r="O65" s="68">
        <v>2</v>
      </c>
      <c r="P65" s="68">
        <v>0</v>
      </c>
      <c r="Q65" s="72">
        <v>230</v>
      </c>
      <c r="R65" s="72">
        <v>0</v>
      </c>
      <c r="S65" s="72">
        <v>0</v>
      </c>
      <c r="T65" s="72">
        <v>0</v>
      </c>
      <c r="U65" s="72">
        <v>0</v>
      </c>
      <c r="V65" s="73">
        <f>SUM(Q65:U65)*'İşçilik Parametreleri'!$B$28/1000</f>
        <v>0.23</v>
      </c>
      <c r="W65" s="70">
        <f>SUMIF('Büküm Parçaları'!$A$2:$A$213,A65,'Büküm Parçaları'!$I$2:$I$213)</f>
        <v>5.4049999999999994</v>
      </c>
      <c r="X65" s="70">
        <f>(I65*'İşçilik Parametreleri'!$B$18+IF(L65&gt;'İşçilik Parametreleri'!$B$21,'İşçilik Parametreleri'!$B$20,'İşçilik Parametreleri'!$B$19)+N65*'İşçilik Parametreleri'!$B$22)*'İşçilik Parametreleri'!$B$23</f>
        <v>9.1624999999999996</v>
      </c>
      <c r="Y65" s="70">
        <f>(IF('İşçilik Parametreleri'!$B$27="Resme göre",(Q65*INDEX('İşçilik Parametreleri'!$F$16:$I$20,1,MATCH('İşçilik Parametreleri'!$B$26,{"Manuel","Robot","HTD","Lazer"},0))+R65*INDEX('İşçilik Parametreleri'!$F$16:$I$20,2,MATCH('İşçilik Parametreleri'!$B$26,{"Manuel","Robot","HTD","Lazer"},0))+S65*INDEX('İşçilik Parametreleri'!$F$16:$I$20,3,MATCH('İşçilik Parametreleri'!$B$26,{"Manuel","Robot","HTD","Lazer"},0))+T65*INDEX('İşçilik Parametreleri'!$F$16:$I$20,4,MATCH('İşçilik Parametreleri'!$B$26,{"Manuel","Robot","HTD","Lazer"},0))+U65*INDEX('İşçilik Parametreleri'!$F$16:$I$20,5,MATCH('İşçilik Parametreleri'!$B$26,{"Manuel","Robot","HTD","Lazer"},0))),SUM(Q65:U65)*INDEX('İşçilik Parametreleri'!$F$16:$I$20,MATCH(VALUE('İşçilik Parametreleri'!$B$27),'İşçilik Parametreleri'!$E$16:$E$20,0),MATCH('İşçilik Parametreleri'!$B$26,{"Manuel","Robot","HTD","Lazer"},0)))*'İşçilik Parametreleri'!$B$28/1000+O65*IF(OR('İşçilik Parametreleri'!$B$26="Robot",'İşçilik Parametreleri'!$B$26="HTD"),'İşçilik Parametreleri'!$B$30,'İşçilik Parametreleri'!$B$29))*'İşçilik Parametreleri'!$B$31</f>
        <v>3.6100000000000003</v>
      </c>
      <c r="Z65" s="74">
        <f t="shared" si="5"/>
        <v>10.906499999999999</v>
      </c>
      <c r="AA65" s="75" t="s">
        <v>86</v>
      </c>
      <c r="AB65" s="76">
        <v>10000</v>
      </c>
      <c r="AC65" s="77">
        <f>IF(AA65="Kataforez",N(AB65),IF(AA65="Yaş boya",'İşçilik Parametreleri'!$B$6/MAX(1,ROUND(IF(ISNUMBER(AB65),AB65,'İşçilik Parametreleri'!$B$7),0)),0))</f>
        <v>8.0000000000000002E-3</v>
      </c>
      <c r="AD65" s="78">
        <f>W65/100*'İşçilik Parametreleri'!$B$9+X65/100*'İşçilik Parametreleri'!$B$17+Y65/100*'İşçilik Parametreleri'!$B$25</f>
        <v>3.6355</v>
      </c>
      <c r="AE65" s="78">
        <f t="shared" si="6"/>
        <v>3.6435</v>
      </c>
      <c r="AF65" s="75">
        <v>52</v>
      </c>
      <c r="AG65" s="79">
        <f>AD65*AF65+IF(AA65="Kataforez",N(AB65)*AF65,IF(AA65="Yaş boya",ROUNDUP(AF65/MAX(1,ROUND(IF(ISNUMBER(AB65),AB65,'İşçilik Parametreleri'!$B$7),0)),0)*'İşçilik Parametreleri'!$B$6,0))</f>
        <v>269.04599999999999</v>
      </c>
      <c r="AH65" s="70">
        <f t="shared" si="7"/>
        <v>9.4522999999999993</v>
      </c>
    </row>
    <row r="66" spans="1:34" ht="15" customHeight="1" x14ac:dyDescent="0.25">
      <c r="A66" s="82" t="s">
        <v>502</v>
      </c>
      <c r="B66" s="80" t="s">
        <v>23</v>
      </c>
      <c r="C66" s="81" t="s">
        <v>193</v>
      </c>
      <c r="D66" s="68" t="s">
        <v>194</v>
      </c>
      <c r="E66" s="68" t="s">
        <v>447</v>
      </c>
      <c r="F66" s="68">
        <v>1</v>
      </c>
      <c r="G66" s="68">
        <v>2</v>
      </c>
      <c r="H66" s="68">
        <v>3</v>
      </c>
      <c r="I66" s="68">
        <v>3</v>
      </c>
      <c r="J66" s="68">
        <v>2</v>
      </c>
      <c r="K66" s="70">
        <v>1.4390000000000001</v>
      </c>
      <c r="L66" s="70">
        <v>1.3839999999999999</v>
      </c>
      <c r="M66" s="71">
        <f t="shared" si="4"/>
        <v>-3.822098679638649E-2</v>
      </c>
      <c r="N66" s="68">
        <v>2</v>
      </c>
      <c r="O66" s="68">
        <v>2</v>
      </c>
      <c r="P66" s="68">
        <v>0</v>
      </c>
      <c r="Q66" s="72">
        <v>0</v>
      </c>
      <c r="R66" s="72">
        <v>400</v>
      </c>
      <c r="S66" s="72">
        <v>0</v>
      </c>
      <c r="T66" s="72">
        <v>0</v>
      </c>
      <c r="U66" s="72">
        <v>0</v>
      </c>
      <c r="V66" s="73">
        <f>SUM(Q66:U66)*'İşçilik Parametreleri'!$B$28/1000</f>
        <v>0.4</v>
      </c>
      <c r="W66" s="70">
        <f>SUMIF('Büküm Parçaları'!$A$2:$A$213,A66,'Büküm Parçaları'!$I$2:$I$213)</f>
        <v>6.5549999999999997</v>
      </c>
      <c r="X66" s="70">
        <f>(I66*'İşçilik Parametreleri'!$B$18+IF(L66&gt;'İşçilik Parametreleri'!$B$21,'İşçilik Parametreleri'!$B$20,'İşçilik Parametreleri'!$B$19)+N66*'İşçilik Parametreleri'!$B$22)*'İşçilik Parametreleri'!$B$23</f>
        <v>10.4125</v>
      </c>
      <c r="Y66" s="70">
        <f>(IF('İşçilik Parametreleri'!$B$27="Resme göre",(Q66*INDEX('İşçilik Parametreleri'!$F$16:$I$20,1,MATCH('İşçilik Parametreleri'!$B$26,{"Manuel","Robot","HTD","Lazer"},0))+R66*INDEX('İşçilik Parametreleri'!$F$16:$I$20,2,MATCH('İşçilik Parametreleri'!$B$26,{"Manuel","Robot","HTD","Lazer"},0))+S66*INDEX('İşçilik Parametreleri'!$F$16:$I$20,3,MATCH('İşçilik Parametreleri'!$B$26,{"Manuel","Robot","HTD","Lazer"},0))+T66*INDEX('İşçilik Parametreleri'!$F$16:$I$20,4,MATCH('İşçilik Parametreleri'!$B$26,{"Manuel","Robot","HTD","Lazer"},0))+U66*INDEX('İşçilik Parametreleri'!$F$16:$I$20,5,MATCH('İşçilik Parametreleri'!$B$26,{"Manuel","Robot","HTD","Lazer"},0))),SUM(Q66:U66)*INDEX('İşçilik Parametreleri'!$F$16:$I$20,MATCH(VALUE('İşçilik Parametreleri'!$B$27),'İşçilik Parametreleri'!$E$16:$E$20,0),MATCH('İşçilik Parametreleri'!$B$26,{"Manuel","Robot","HTD","Lazer"},0)))*'İşçilik Parametreleri'!$B$28/1000+O66*IF(OR('İşçilik Parametreleri'!$B$26="Robot",'İşçilik Parametreleri'!$B$26="HTD"),'İşçilik Parametreleri'!$B$30,'İşçilik Parametreleri'!$B$29))*'İşçilik Parametreleri'!$B$31</f>
        <v>6.4</v>
      </c>
      <c r="Z66" s="74">
        <f t="shared" si="5"/>
        <v>14.0205</v>
      </c>
      <c r="AA66" s="75" t="s">
        <v>86</v>
      </c>
      <c r="AB66" s="76">
        <v>10000</v>
      </c>
      <c r="AC66" s="77">
        <f>IF(AA66="Kataforez",N(AB66),IF(AA66="Yaş boya",'İşçilik Parametreleri'!$B$6/MAX(1,ROUND(IF(ISNUMBER(AB66),AB66,'İşçilik Parametreleri'!$B$7),0)),0))</f>
        <v>8.0000000000000002E-3</v>
      </c>
      <c r="AD66" s="78">
        <f>W66/100*'İşçilik Parametreleri'!$B$9+X66/100*'İşçilik Parametreleri'!$B$17+Y66/100*'İşçilik Parametreleri'!$B$25</f>
        <v>4.6734999999999998</v>
      </c>
      <c r="AE66" s="78">
        <f t="shared" si="6"/>
        <v>4.6814999999999998</v>
      </c>
      <c r="AF66" s="75">
        <v>40</v>
      </c>
      <c r="AG66" s="79">
        <f>AD66*AF66+IF(AA66="Kataforez",N(AB66)*AF66,IF(AA66="Yaş boya",ROUNDUP(AF66/MAX(1,ROUND(IF(ISNUMBER(AB66),AB66,'İşçilik Parametreleri'!$B$7),0)),0)*'İşçilik Parametreleri'!$B$6,0))</f>
        <v>266.94</v>
      </c>
      <c r="AH66" s="70">
        <f t="shared" si="7"/>
        <v>9.3470000000000013</v>
      </c>
    </row>
    <row r="67" spans="1:34" ht="15" customHeight="1" x14ac:dyDescent="0.25">
      <c r="A67" s="82" t="s">
        <v>503</v>
      </c>
      <c r="B67" s="80" t="s">
        <v>23</v>
      </c>
      <c r="C67" s="81" t="s">
        <v>195</v>
      </c>
      <c r="D67" s="68" t="s">
        <v>107</v>
      </c>
      <c r="E67" s="68" t="s">
        <v>442</v>
      </c>
      <c r="F67" s="68">
        <v>1</v>
      </c>
      <c r="G67" s="68">
        <v>3</v>
      </c>
      <c r="H67" s="68">
        <v>2</v>
      </c>
      <c r="I67" s="68">
        <v>2</v>
      </c>
      <c r="J67" s="68">
        <v>2</v>
      </c>
      <c r="K67" s="70">
        <v>2.129</v>
      </c>
      <c r="L67" s="70">
        <v>2.137</v>
      </c>
      <c r="M67" s="71">
        <f t="shared" si="4"/>
        <v>3.7576326914044184E-3</v>
      </c>
      <c r="N67" s="68">
        <v>2</v>
      </c>
      <c r="O67" s="68">
        <v>2</v>
      </c>
      <c r="P67" s="68">
        <v>0</v>
      </c>
      <c r="Q67" s="72">
        <v>250</v>
      </c>
      <c r="R67" s="72">
        <v>0</v>
      </c>
      <c r="S67" s="72">
        <v>0</v>
      </c>
      <c r="T67" s="72">
        <v>0</v>
      </c>
      <c r="U67" s="72">
        <v>0</v>
      </c>
      <c r="V67" s="73">
        <f>SUM(Q67:U67)*'İşçilik Parametreleri'!$B$28/1000</f>
        <v>0.25</v>
      </c>
      <c r="W67" s="70">
        <f>SUMIF('Büküm Parçaları'!$A$2:$A$213,A67,'Büküm Parçaları'!$I$2:$I$213)</f>
        <v>6.5549999999999997</v>
      </c>
      <c r="X67" s="70">
        <f>(I67*'İşçilik Parametreleri'!$B$18+IF(L67&gt;'İşçilik Parametreleri'!$B$21,'İşçilik Parametreleri'!$B$20,'İşçilik Parametreleri'!$B$19)+N67*'İşçilik Parametreleri'!$B$22)*'İşçilik Parametreleri'!$B$23</f>
        <v>9.1624999999999996</v>
      </c>
      <c r="Y67" s="70">
        <f>(IF('İşçilik Parametreleri'!$B$27="Resme göre",(Q67*INDEX('İşçilik Parametreleri'!$F$16:$I$20,1,MATCH('İşçilik Parametreleri'!$B$26,{"Manuel","Robot","HTD","Lazer"},0))+R67*INDEX('İşçilik Parametreleri'!$F$16:$I$20,2,MATCH('İşçilik Parametreleri'!$B$26,{"Manuel","Robot","HTD","Lazer"},0))+S67*INDEX('İşçilik Parametreleri'!$F$16:$I$20,3,MATCH('İşçilik Parametreleri'!$B$26,{"Manuel","Robot","HTD","Lazer"},0))+T67*INDEX('İşçilik Parametreleri'!$F$16:$I$20,4,MATCH('İşçilik Parametreleri'!$B$26,{"Manuel","Robot","HTD","Lazer"},0))+U67*INDEX('İşçilik Parametreleri'!$F$16:$I$20,5,MATCH('İşçilik Parametreleri'!$B$26,{"Manuel","Robot","HTD","Lazer"},0))),SUM(Q67:U67)*INDEX('İşçilik Parametreleri'!$F$16:$I$20,MATCH(VALUE('İşçilik Parametreleri'!$B$27),'İşçilik Parametreleri'!$E$16:$E$20,0),MATCH('İşçilik Parametreleri'!$B$26,{"Manuel","Robot","HTD","Lazer"},0)))*'İşçilik Parametreleri'!$B$28/1000+O67*IF(OR('İşçilik Parametreleri'!$B$26="Robot",'İşçilik Parametreleri'!$B$26="HTD"),'İşçilik Parametreleri'!$B$30,'İşçilik Parametreleri'!$B$29))*'İşçilik Parametreleri'!$B$31</f>
        <v>3.75</v>
      </c>
      <c r="Z67" s="74">
        <f t="shared" si="5"/>
        <v>11.6805</v>
      </c>
      <c r="AA67" s="75" t="s">
        <v>86</v>
      </c>
      <c r="AB67" s="76">
        <v>10000</v>
      </c>
      <c r="AC67" s="77">
        <f>IF(AA67="Kataforez",N(AB67),IF(AA67="Yaş boya",'İşçilik Parametreleri'!$B$6/MAX(1,ROUND(IF(ISNUMBER(AB67),AB67,'İşçilik Parametreleri'!$B$7),0)),0))</f>
        <v>8.0000000000000002E-3</v>
      </c>
      <c r="AD67" s="78">
        <f>W67/100*'İşçilik Parametreleri'!$B$9+X67/100*'İşçilik Parametreleri'!$B$17+Y67/100*'İşçilik Parametreleri'!$B$25</f>
        <v>3.8935</v>
      </c>
      <c r="AE67" s="78">
        <f t="shared" si="6"/>
        <v>3.9015</v>
      </c>
      <c r="AF67" s="75">
        <v>45</v>
      </c>
      <c r="AG67" s="79">
        <f>AD67*AF67+IF(AA67="Kataforez",N(AB67)*AF67,IF(AA67="Yaş boya",ROUNDUP(AF67/MAX(1,ROUND(IF(ISNUMBER(AB67),AB67,'İşçilik Parametreleri'!$B$7),0)),0)*'İşçilik Parametreleri'!$B$6,0))</f>
        <v>255.20750000000001</v>
      </c>
      <c r="AH67" s="70">
        <f t="shared" si="7"/>
        <v>8.7603749999999998</v>
      </c>
    </row>
    <row r="68" spans="1:34" ht="15" customHeight="1" x14ac:dyDescent="0.25">
      <c r="A68" s="82" t="s">
        <v>504</v>
      </c>
      <c r="B68" s="80" t="s">
        <v>23</v>
      </c>
      <c r="C68" s="81" t="s">
        <v>196</v>
      </c>
      <c r="D68" s="68" t="s">
        <v>107</v>
      </c>
      <c r="E68" s="68" t="s">
        <v>442</v>
      </c>
      <c r="F68" s="68">
        <v>1</v>
      </c>
      <c r="G68" s="68">
        <v>2</v>
      </c>
      <c r="H68" s="68">
        <v>10</v>
      </c>
      <c r="I68" s="68">
        <v>10</v>
      </c>
      <c r="J68" s="68">
        <v>24</v>
      </c>
      <c r="K68" s="70">
        <v>1.64</v>
      </c>
      <c r="L68" s="70">
        <v>1.635</v>
      </c>
      <c r="M68" s="71">
        <f t="shared" si="4"/>
        <v>-3.0487804878048131E-3</v>
      </c>
      <c r="N68" s="68">
        <v>20</v>
      </c>
      <c r="O68" s="68">
        <v>20</v>
      </c>
      <c r="P68" s="68">
        <v>0</v>
      </c>
      <c r="Q68" s="72">
        <v>400</v>
      </c>
      <c r="R68" s="72">
        <v>0</v>
      </c>
      <c r="S68" s="72">
        <v>0</v>
      </c>
      <c r="T68" s="72">
        <v>0</v>
      </c>
      <c r="U68" s="72">
        <v>0</v>
      </c>
      <c r="V68" s="73">
        <f>SUM(Q68:U68)*'İşçilik Parametreleri'!$B$28/1000</f>
        <v>0.4</v>
      </c>
      <c r="W68" s="70">
        <f>SUMIF('Büküm Parçaları'!$A$2:$A$213,A68,'Büküm Parçaları'!$I$2:$I$213)</f>
        <v>57.384999999999991</v>
      </c>
      <c r="X68" s="70">
        <f>(I68*'İşçilik Parametreleri'!$B$18+IF(L68&gt;'İşçilik Parametreleri'!$B$21,'İşçilik Parametreleri'!$B$20,'İşçilik Parametreleri'!$B$19)+N68*'İşçilik Parametreleri'!$B$22)*'İşçilik Parametreleri'!$B$23</f>
        <v>41.662499999999994</v>
      </c>
      <c r="Y68" s="70">
        <f>(IF('İşçilik Parametreleri'!$B$27="Resme göre",(Q68*INDEX('İşçilik Parametreleri'!$F$16:$I$20,1,MATCH('İşçilik Parametreleri'!$B$26,{"Manuel","Robot","HTD","Lazer"},0))+R68*INDEX('İşçilik Parametreleri'!$F$16:$I$20,2,MATCH('İşçilik Parametreleri'!$B$26,{"Manuel","Robot","HTD","Lazer"},0))+S68*INDEX('İşçilik Parametreleri'!$F$16:$I$20,3,MATCH('İşçilik Parametreleri'!$B$26,{"Manuel","Robot","HTD","Lazer"},0))+T68*INDEX('İşçilik Parametreleri'!$F$16:$I$20,4,MATCH('İşçilik Parametreleri'!$B$26,{"Manuel","Robot","HTD","Lazer"},0))+U68*INDEX('İşçilik Parametreleri'!$F$16:$I$20,5,MATCH('İşçilik Parametreleri'!$B$26,{"Manuel","Robot","HTD","Lazer"},0))),SUM(Q68:U68)*INDEX('İşçilik Parametreleri'!$F$16:$I$20,MATCH(VALUE('İşçilik Parametreleri'!$B$27),'İşçilik Parametreleri'!$E$16:$E$20,0),MATCH('İşçilik Parametreleri'!$B$26,{"Manuel","Robot","HTD","Lazer"},0)))*'İşçilik Parametreleri'!$B$28/1000+O68*IF(OR('İşçilik Parametreleri'!$B$26="Robot",'İşçilik Parametreleri'!$B$26="HTD"),'İşçilik Parametreleri'!$B$30,'İşçilik Parametreleri'!$B$29))*'İşçilik Parametreleri'!$B$31</f>
        <v>22.8</v>
      </c>
      <c r="Z68" s="74">
        <f t="shared" si="5"/>
        <v>73.108499999999992</v>
      </c>
      <c r="AA68" s="75" t="s">
        <v>86</v>
      </c>
      <c r="AB68" s="76">
        <v>10000</v>
      </c>
      <c r="AC68" s="77">
        <f>IF(AA68="Kataforez",N(AB68),IF(AA68="Yaş boya",'İşçilik Parametreleri'!$B$6/MAX(1,ROUND(IF(ISNUMBER(AB68),AB68,'İşçilik Parametreleri'!$B$7),0)),0))</f>
        <v>8.0000000000000002E-3</v>
      </c>
      <c r="AD68" s="78">
        <f>W68/100*'İşçilik Parametreleri'!$B$9+X68/100*'İşçilik Parametreleri'!$B$17+Y68/100*'İşçilik Parametreleri'!$B$25</f>
        <v>24.369499999999995</v>
      </c>
      <c r="AE68" s="78">
        <f t="shared" si="6"/>
        <v>24.377499999999994</v>
      </c>
      <c r="AF68" s="75">
        <v>7</v>
      </c>
      <c r="AG68" s="79">
        <f>AD68*AF68+IF(AA68="Kataforez",N(AB68)*AF68,IF(AA68="Yaş boya",ROUNDUP(AF68/MAX(1,ROUND(IF(ISNUMBER(AB68),AB68,'İşçilik Parametreleri'!$B$7),0)),0)*'İşçilik Parametreleri'!$B$6,0))</f>
        <v>250.58649999999997</v>
      </c>
      <c r="AH68" s="70">
        <f t="shared" si="7"/>
        <v>8.5293249999999983</v>
      </c>
    </row>
    <row r="69" spans="1:34" ht="15" customHeight="1" x14ac:dyDescent="0.25">
      <c r="A69" s="82" t="s">
        <v>505</v>
      </c>
      <c r="B69" s="80" t="s">
        <v>23</v>
      </c>
      <c r="C69" s="81" t="s">
        <v>197</v>
      </c>
      <c r="D69" s="68" t="s">
        <v>113</v>
      </c>
      <c r="E69" s="68" t="s">
        <v>442</v>
      </c>
      <c r="F69" s="68">
        <v>1</v>
      </c>
      <c r="G69" s="68">
        <v>2</v>
      </c>
      <c r="H69" s="68">
        <v>3</v>
      </c>
      <c r="I69" s="68">
        <v>3</v>
      </c>
      <c r="J69" s="68">
        <v>6</v>
      </c>
      <c r="K69" s="70">
        <v>3.843</v>
      </c>
      <c r="L69" s="70">
        <v>3.8439999999999999</v>
      </c>
      <c r="M69" s="71">
        <f t="shared" si="4"/>
        <v>2.6021337496744465E-4</v>
      </c>
      <c r="N69" s="68">
        <v>6</v>
      </c>
      <c r="O69" s="68">
        <v>6</v>
      </c>
      <c r="P69" s="68">
        <v>0</v>
      </c>
      <c r="Q69" s="72">
        <v>0</v>
      </c>
      <c r="R69" s="72">
        <v>270</v>
      </c>
      <c r="S69" s="72">
        <v>0</v>
      </c>
      <c r="T69" s="72">
        <v>0</v>
      </c>
      <c r="U69" s="72">
        <v>0</v>
      </c>
      <c r="V69" s="73">
        <f>SUM(Q69:U69)*'İşçilik Parametreleri'!$B$28/1000</f>
        <v>0.27</v>
      </c>
      <c r="W69" s="70">
        <f>SUMIF('Büküm Parçaları'!$A$2:$A$213,A69,'Büküm Parçaları'!$I$2:$I$213)</f>
        <v>19.664999999999999</v>
      </c>
      <c r="X69" s="70">
        <f>(I69*'İşçilik Parametreleri'!$B$18+IF(L69&gt;'İşçilik Parametreleri'!$B$21,'İşçilik Parametreleri'!$B$20,'İşçilik Parametreleri'!$B$19)+N69*'İşçilik Parametreleri'!$B$22)*'İşçilik Parametreleri'!$B$23</f>
        <v>15.4125</v>
      </c>
      <c r="Y69" s="70">
        <f>(IF('İşçilik Parametreleri'!$B$27="Resme göre",(Q69*INDEX('İşçilik Parametreleri'!$F$16:$I$20,1,MATCH('İşçilik Parametreleri'!$B$26,{"Manuel","Robot","HTD","Lazer"},0))+R69*INDEX('İşçilik Parametreleri'!$F$16:$I$20,2,MATCH('İşçilik Parametreleri'!$B$26,{"Manuel","Robot","HTD","Lazer"},0))+S69*INDEX('İşçilik Parametreleri'!$F$16:$I$20,3,MATCH('İşçilik Parametreleri'!$B$26,{"Manuel","Robot","HTD","Lazer"},0))+T69*INDEX('İşçilik Parametreleri'!$F$16:$I$20,4,MATCH('İşçilik Parametreleri'!$B$26,{"Manuel","Robot","HTD","Lazer"},0))+U69*INDEX('İşçilik Parametreleri'!$F$16:$I$20,5,MATCH('İşçilik Parametreleri'!$B$26,{"Manuel","Robot","HTD","Lazer"},0))),SUM(Q69:U69)*INDEX('İşçilik Parametreleri'!$F$16:$I$20,MATCH(VALUE('İşçilik Parametreleri'!$B$27),'İşçilik Parametreleri'!$E$16:$E$20,0),MATCH('İşçilik Parametreleri'!$B$26,{"Manuel","Robot","HTD","Lazer"},0)))*'İşçilik Parametreleri'!$B$28/1000+O69*IF(OR('İşçilik Parametreleri'!$B$26="Robot",'İşçilik Parametreleri'!$B$26="HTD"),'İşçilik Parametreleri'!$B$30,'İşçilik Parametreleri'!$B$29))*'İşçilik Parametreleri'!$B$31</f>
        <v>8.9700000000000006</v>
      </c>
      <c r="Z69" s="74">
        <f t="shared" si="5"/>
        <v>26.4285</v>
      </c>
      <c r="AA69" s="75" t="s">
        <v>86</v>
      </c>
      <c r="AB69" s="76">
        <v>10000</v>
      </c>
      <c r="AC69" s="77">
        <f>IF(AA69="Kataforez",N(AB69),IF(AA69="Yaş boya",'İşçilik Parametreleri'!$B$6/MAX(1,ROUND(IF(ISNUMBER(AB69),AB69,'İşçilik Parametreleri'!$B$7),0)),0))</f>
        <v>8.0000000000000002E-3</v>
      </c>
      <c r="AD69" s="78">
        <f>W69/100*'İşçilik Parametreleri'!$B$9+X69/100*'İşçilik Parametreleri'!$B$17+Y69/100*'İşçilik Parametreleri'!$B$25</f>
        <v>8.8094999999999999</v>
      </c>
      <c r="AE69" s="78">
        <f t="shared" si="6"/>
        <v>8.817499999999999</v>
      </c>
      <c r="AF69" s="75">
        <v>19</v>
      </c>
      <c r="AG69" s="79">
        <f>AD69*AF69+IF(AA69="Kataforez",N(AB69)*AF69,IF(AA69="Yaş boya",ROUNDUP(AF69/MAX(1,ROUND(IF(ISNUMBER(AB69),AB69,'İşçilik Parametreleri'!$B$7),0)),0)*'İşçilik Parametreleri'!$B$6,0))</f>
        <v>247.38049999999998</v>
      </c>
      <c r="AH69" s="70">
        <f t="shared" si="7"/>
        <v>8.3690250000000006</v>
      </c>
    </row>
    <row r="70" spans="1:34" ht="15" customHeight="1" x14ac:dyDescent="0.25">
      <c r="A70" s="82" t="s">
        <v>506</v>
      </c>
      <c r="B70" s="80" t="s">
        <v>23</v>
      </c>
      <c r="C70" s="81" t="s">
        <v>198</v>
      </c>
      <c r="D70" s="68" t="s">
        <v>139</v>
      </c>
      <c r="E70" s="68" t="s">
        <v>447</v>
      </c>
      <c r="F70" s="68">
        <v>1</v>
      </c>
      <c r="G70" s="68">
        <v>3</v>
      </c>
      <c r="H70" s="68">
        <v>3</v>
      </c>
      <c r="I70" s="68">
        <v>3</v>
      </c>
      <c r="J70" s="68">
        <v>0</v>
      </c>
      <c r="K70" s="70">
        <v>0.68600000000000005</v>
      </c>
      <c r="L70" s="70">
        <v>0.68600000000000005</v>
      </c>
      <c r="M70" s="71">
        <f t="shared" ref="M70:M101" si="8">IF(ISNUMBER(K70),(L70-K70)/K70,"")</f>
        <v>0</v>
      </c>
      <c r="N70" s="68">
        <v>4</v>
      </c>
      <c r="O70" s="68">
        <v>4</v>
      </c>
      <c r="P70" s="68">
        <v>0</v>
      </c>
      <c r="Q70" s="72">
        <v>120</v>
      </c>
      <c r="R70" s="72">
        <v>0</v>
      </c>
      <c r="S70" s="72">
        <v>0</v>
      </c>
      <c r="T70" s="72">
        <v>0</v>
      </c>
      <c r="U70" s="72">
        <v>0</v>
      </c>
      <c r="V70" s="73">
        <f>SUM(Q70:U70)*'İşçilik Parametreleri'!$B$28/1000</f>
        <v>0.12</v>
      </c>
      <c r="W70" s="70">
        <f>SUMIF('Büküm Parçaları'!$A$2:$A$213,A70,'Büküm Parçaları'!$I$2:$I$213)</f>
        <v>0</v>
      </c>
      <c r="X70" s="70">
        <f>(I70*'İşçilik Parametreleri'!$B$18+IF(L70&gt;'İşçilik Parametreleri'!$B$21,'İşçilik Parametreleri'!$B$20,'İşçilik Parametreleri'!$B$19)+N70*'İşçilik Parametreleri'!$B$22)*'İşçilik Parametreleri'!$B$23</f>
        <v>12.9125</v>
      </c>
      <c r="Y70" s="70">
        <f>(IF('İşçilik Parametreleri'!$B$27="Resme göre",(Q70*INDEX('İşçilik Parametreleri'!$F$16:$I$20,1,MATCH('İşçilik Parametreleri'!$B$26,{"Manuel","Robot","HTD","Lazer"},0))+R70*INDEX('İşçilik Parametreleri'!$F$16:$I$20,2,MATCH('İşçilik Parametreleri'!$B$26,{"Manuel","Robot","HTD","Lazer"},0))+S70*INDEX('İşçilik Parametreleri'!$F$16:$I$20,3,MATCH('İşçilik Parametreleri'!$B$26,{"Manuel","Robot","HTD","Lazer"},0))+T70*INDEX('İşçilik Parametreleri'!$F$16:$I$20,4,MATCH('İşçilik Parametreleri'!$B$26,{"Manuel","Robot","HTD","Lazer"},0))+U70*INDEX('İşçilik Parametreleri'!$F$16:$I$20,5,MATCH('İşçilik Parametreleri'!$B$26,{"Manuel","Robot","HTD","Lazer"},0))),SUM(Q70:U70)*INDEX('İşçilik Parametreleri'!$F$16:$I$20,MATCH(VALUE('İşçilik Parametreleri'!$B$27),'İşçilik Parametreleri'!$E$16:$E$20,0),MATCH('İşçilik Parametreleri'!$B$26,{"Manuel","Robot","HTD","Lazer"},0)))*'İşçilik Parametreleri'!$B$28/1000+O70*IF(OR('İşçilik Parametreleri'!$B$26="Robot",'İşçilik Parametreleri'!$B$26="HTD"),'İşçilik Parametreleri'!$B$30,'İşçilik Parametreleri'!$B$29))*'İşçilik Parametreleri'!$B$31</f>
        <v>4.84</v>
      </c>
      <c r="Z70" s="74">
        <f t="shared" ref="Z70:Z101" si="9">(W70+X70+Y70)*0.6</f>
        <v>10.651499999999999</v>
      </c>
      <c r="AA70" s="75" t="s">
        <v>86</v>
      </c>
      <c r="AB70" s="76">
        <v>10000</v>
      </c>
      <c r="AC70" s="77">
        <f>IF(AA70="Kataforez",N(AB70),IF(AA70="Yaş boya",'İşçilik Parametreleri'!$B$6/MAX(1,ROUND(IF(ISNUMBER(AB70),AB70,'İşçilik Parametreleri'!$B$7),0)),0))</f>
        <v>8.0000000000000002E-3</v>
      </c>
      <c r="AD70" s="78">
        <f>W70/100*'İşçilik Parametreleri'!$B$9+X70/100*'İşçilik Parametreleri'!$B$17+Y70/100*'İşçilik Parametreleri'!$B$25</f>
        <v>3.5504999999999995</v>
      </c>
      <c r="AE70" s="78">
        <f t="shared" ref="AE70:AE101" si="10">AD70+AC70</f>
        <v>3.5584999999999996</v>
      </c>
      <c r="AF70" s="75">
        <v>47</v>
      </c>
      <c r="AG70" s="79">
        <f>AD70*AF70+IF(AA70="Kataforez",N(AB70)*AF70,IF(AA70="Yaş boya",ROUNDUP(AF70/MAX(1,ROUND(IF(ISNUMBER(AB70),AB70,'İşçilik Parametreleri'!$B$7),0)),0)*'İşçilik Parametreleri'!$B$6,0))</f>
        <v>246.87349999999998</v>
      </c>
      <c r="AH70" s="70">
        <f t="shared" ref="AH70:AH101" si="11">(W70+X70+Y70)*AF70/100</f>
        <v>8.3436749999999975</v>
      </c>
    </row>
    <row r="71" spans="1:34" ht="15" customHeight="1" x14ac:dyDescent="0.25">
      <c r="A71" s="82" t="s">
        <v>507</v>
      </c>
      <c r="B71" s="80" t="s">
        <v>23</v>
      </c>
      <c r="C71" s="81" t="s">
        <v>199</v>
      </c>
      <c r="D71" s="68" t="s">
        <v>139</v>
      </c>
      <c r="E71" s="68" t="s">
        <v>130</v>
      </c>
      <c r="F71" s="68">
        <v>1</v>
      </c>
      <c r="G71" s="68">
        <v>3</v>
      </c>
      <c r="H71" s="68">
        <v>3</v>
      </c>
      <c r="I71" s="68">
        <v>3</v>
      </c>
      <c r="J71" s="68">
        <v>0</v>
      </c>
      <c r="K71" s="70">
        <v>4.0940000000000003</v>
      </c>
      <c r="L71" s="70">
        <v>4.093</v>
      </c>
      <c r="M71" s="71">
        <f t="shared" si="8"/>
        <v>-2.4425989252572887E-4</v>
      </c>
      <c r="N71" s="68">
        <v>4</v>
      </c>
      <c r="O71" s="68">
        <v>4</v>
      </c>
      <c r="P71" s="68">
        <v>0</v>
      </c>
      <c r="Q71" s="72">
        <v>400</v>
      </c>
      <c r="R71" s="72">
        <v>0</v>
      </c>
      <c r="S71" s="72">
        <v>0</v>
      </c>
      <c r="T71" s="72">
        <v>0</v>
      </c>
      <c r="U71" s="72">
        <v>0</v>
      </c>
      <c r="V71" s="73">
        <f>SUM(Q71:U71)*'İşçilik Parametreleri'!$B$28/1000</f>
        <v>0.4</v>
      </c>
      <c r="W71" s="70">
        <f>SUMIF('Büküm Parçaları'!$A$2:$A$213,A71,'Büküm Parçaları'!$I$2:$I$213)</f>
        <v>0</v>
      </c>
      <c r="X71" s="70">
        <f>(I71*'İşçilik Parametreleri'!$B$18+IF(L71&gt;'İşçilik Parametreleri'!$B$21,'İşçilik Parametreleri'!$B$20,'İşçilik Parametreleri'!$B$19)+N71*'İşçilik Parametreleri'!$B$22)*'İşçilik Parametreleri'!$B$23</f>
        <v>12.9125</v>
      </c>
      <c r="Y71" s="70">
        <f>(IF('İşçilik Parametreleri'!$B$27="Resme göre",(Q71*INDEX('İşçilik Parametreleri'!$F$16:$I$20,1,MATCH('İşçilik Parametreleri'!$B$26,{"Manuel","Robot","HTD","Lazer"},0))+R71*INDEX('İşçilik Parametreleri'!$F$16:$I$20,2,MATCH('İşçilik Parametreleri'!$B$26,{"Manuel","Robot","HTD","Lazer"},0))+S71*INDEX('İşçilik Parametreleri'!$F$16:$I$20,3,MATCH('İşçilik Parametreleri'!$B$26,{"Manuel","Robot","HTD","Lazer"},0))+T71*INDEX('İşçilik Parametreleri'!$F$16:$I$20,4,MATCH('İşçilik Parametreleri'!$B$26,{"Manuel","Robot","HTD","Lazer"},0))+U71*INDEX('İşçilik Parametreleri'!$F$16:$I$20,5,MATCH('İşçilik Parametreleri'!$B$26,{"Manuel","Robot","HTD","Lazer"},0))),SUM(Q71:U71)*INDEX('İşçilik Parametreleri'!$F$16:$I$20,MATCH(VALUE('İşçilik Parametreleri'!$B$27),'İşçilik Parametreleri'!$E$16:$E$20,0),MATCH('İşçilik Parametreleri'!$B$26,{"Manuel","Robot","HTD","Lazer"},0)))*'İşçilik Parametreleri'!$B$28/1000+O71*IF(OR('İşçilik Parametreleri'!$B$26="Robot",'İşçilik Parametreleri'!$B$26="HTD"),'İşçilik Parametreleri'!$B$30,'İşçilik Parametreleri'!$B$29))*'İşçilik Parametreleri'!$B$31</f>
        <v>6.8</v>
      </c>
      <c r="Z71" s="74">
        <f t="shared" si="9"/>
        <v>11.827499999999999</v>
      </c>
      <c r="AA71" s="75" t="s">
        <v>124</v>
      </c>
      <c r="AB71" s="76"/>
      <c r="AC71" s="77">
        <f>IF(AA71="Kataforez",N(AB71),IF(AA71="Yaş boya",'İşçilik Parametreleri'!$B$6/MAX(1,ROUND(IF(ISNUMBER(AB71),AB71,'İşçilik Parametreleri'!$B$7),0)),0))</f>
        <v>0</v>
      </c>
      <c r="AD71" s="78">
        <f>W71/100*'İşçilik Parametreleri'!$B$9+X71/100*'İşçilik Parametreleri'!$B$17+Y71/100*'İşçilik Parametreleri'!$B$25</f>
        <v>3.9424999999999999</v>
      </c>
      <c r="AE71" s="78">
        <f t="shared" si="10"/>
        <v>3.9424999999999999</v>
      </c>
      <c r="AF71" s="75">
        <v>80</v>
      </c>
      <c r="AG71" s="79">
        <f>AD71*AF71+IF(AA71="Kataforez",N(AB71)*AF71,IF(AA71="Yaş boya",ROUNDUP(AF71/MAX(1,ROUND(IF(ISNUMBER(AB71),AB71,'İşçilik Parametreleri'!$B$7),0)),0)*'İşçilik Parametreleri'!$B$6,0))</f>
        <v>315.39999999999998</v>
      </c>
      <c r="AH71" s="70">
        <f t="shared" si="11"/>
        <v>15.77</v>
      </c>
    </row>
    <row r="72" spans="1:34" ht="15" customHeight="1" x14ac:dyDescent="0.25">
      <c r="A72" s="82" t="s">
        <v>508</v>
      </c>
      <c r="B72" s="80" t="s">
        <v>23</v>
      </c>
      <c r="C72" s="81" t="s">
        <v>200</v>
      </c>
      <c r="D72" s="68" t="s">
        <v>139</v>
      </c>
      <c r="E72" s="68" t="s">
        <v>447</v>
      </c>
      <c r="F72" s="68">
        <v>1</v>
      </c>
      <c r="G72" s="68">
        <v>2</v>
      </c>
      <c r="H72" s="68">
        <v>3</v>
      </c>
      <c r="I72" s="68">
        <v>3</v>
      </c>
      <c r="J72" s="68">
        <v>0</v>
      </c>
      <c r="K72" s="70">
        <v>0.83799999999999997</v>
      </c>
      <c r="L72" s="70">
        <v>0.80900000000000005</v>
      </c>
      <c r="M72" s="71">
        <f t="shared" si="8"/>
        <v>-3.4606205250596558E-2</v>
      </c>
      <c r="N72" s="68">
        <v>2</v>
      </c>
      <c r="O72" s="68">
        <v>2</v>
      </c>
      <c r="P72" s="68">
        <v>0</v>
      </c>
      <c r="Q72" s="72">
        <v>330</v>
      </c>
      <c r="R72" s="72">
        <v>0</v>
      </c>
      <c r="S72" s="72">
        <v>0</v>
      </c>
      <c r="T72" s="72">
        <v>0</v>
      </c>
      <c r="U72" s="72">
        <v>0</v>
      </c>
      <c r="V72" s="73">
        <f>SUM(Q72:U72)*'İşçilik Parametreleri'!$B$28/1000</f>
        <v>0.33</v>
      </c>
      <c r="W72" s="70">
        <f>SUMIF('Büküm Parçaları'!$A$2:$A$213,A72,'Büküm Parçaları'!$I$2:$I$213)</f>
        <v>0</v>
      </c>
      <c r="X72" s="70">
        <f>(I72*'İşçilik Parametreleri'!$B$18+IF(L72&gt;'İşçilik Parametreleri'!$B$21,'İşçilik Parametreleri'!$B$20,'İşçilik Parametreleri'!$B$19)+N72*'İşçilik Parametreleri'!$B$22)*'İşçilik Parametreleri'!$B$23</f>
        <v>10.4125</v>
      </c>
      <c r="Y72" s="70">
        <f>(IF('İşçilik Parametreleri'!$B$27="Resme göre",(Q72*INDEX('İşçilik Parametreleri'!$F$16:$I$20,1,MATCH('İşçilik Parametreleri'!$B$26,{"Manuel","Robot","HTD","Lazer"},0))+R72*INDEX('İşçilik Parametreleri'!$F$16:$I$20,2,MATCH('İşçilik Parametreleri'!$B$26,{"Manuel","Robot","HTD","Lazer"},0))+S72*INDEX('İşçilik Parametreleri'!$F$16:$I$20,3,MATCH('İşçilik Parametreleri'!$B$26,{"Manuel","Robot","HTD","Lazer"},0))+T72*INDEX('İşçilik Parametreleri'!$F$16:$I$20,4,MATCH('İşçilik Parametreleri'!$B$26,{"Manuel","Robot","HTD","Lazer"},0))+U72*INDEX('İşçilik Parametreleri'!$F$16:$I$20,5,MATCH('İşçilik Parametreleri'!$B$26,{"Manuel","Robot","HTD","Lazer"},0))),SUM(Q72:U72)*INDEX('İşçilik Parametreleri'!$F$16:$I$20,MATCH(VALUE('İşçilik Parametreleri'!$B$27),'İşçilik Parametreleri'!$E$16:$E$20,0),MATCH('İşçilik Parametreleri'!$B$26,{"Manuel","Robot","HTD","Lazer"},0)))*'İşçilik Parametreleri'!$B$28/1000+O72*IF(OR('İşçilik Parametreleri'!$B$26="Robot",'İşçilik Parametreleri'!$B$26="HTD"),'İşçilik Parametreleri'!$B$30,'İşçilik Parametreleri'!$B$29))*'İşçilik Parametreleri'!$B$31</f>
        <v>4.3100000000000005</v>
      </c>
      <c r="Z72" s="74">
        <f t="shared" si="9"/>
        <v>8.833499999999999</v>
      </c>
      <c r="AA72" s="75" t="s">
        <v>86</v>
      </c>
      <c r="AB72" s="76">
        <v>10000</v>
      </c>
      <c r="AC72" s="77">
        <f>IF(AA72="Kataforez",N(AB72),IF(AA72="Yaş boya",'İşçilik Parametreleri'!$B$6/MAX(1,ROUND(IF(ISNUMBER(AB72),AB72,'İşçilik Parametreleri'!$B$7),0)),0))</f>
        <v>8.0000000000000002E-3</v>
      </c>
      <c r="AD72" s="78">
        <f>W72/100*'İşçilik Parametreleri'!$B$9+X72/100*'İşçilik Parametreleri'!$B$17+Y72/100*'İşçilik Parametreleri'!$B$25</f>
        <v>2.9445000000000001</v>
      </c>
      <c r="AE72" s="78">
        <f t="shared" si="10"/>
        <v>2.9525000000000001</v>
      </c>
      <c r="AF72" s="75">
        <v>56</v>
      </c>
      <c r="AG72" s="79">
        <f>AD72*AF72+IF(AA72="Kataforez",N(AB72)*AF72,IF(AA72="Yaş boya",ROUNDUP(AF72/MAX(1,ROUND(IF(ISNUMBER(AB72),AB72,'İşçilik Parametreleri'!$B$7),0)),0)*'İşçilik Parametreleri'!$B$6,0))</f>
        <v>244.892</v>
      </c>
      <c r="AH72" s="70">
        <f t="shared" si="11"/>
        <v>8.2446000000000002</v>
      </c>
    </row>
    <row r="73" spans="1:34" ht="15" customHeight="1" x14ac:dyDescent="0.25">
      <c r="A73" s="82" t="s">
        <v>509</v>
      </c>
      <c r="B73" s="80" t="s">
        <v>23</v>
      </c>
      <c r="C73" s="81" t="s">
        <v>202</v>
      </c>
      <c r="D73" s="68" t="s">
        <v>148</v>
      </c>
      <c r="E73" s="68" t="s">
        <v>442</v>
      </c>
      <c r="F73" s="68">
        <v>1</v>
      </c>
      <c r="G73" s="68">
        <v>2</v>
      </c>
      <c r="H73" s="68">
        <v>3</v>
      </c>
      <c r="I73" s="68">
        <v>3</v>
      </c>
      <c r="J73" s="68">
        <v>1</v>
      </c>
      <c r="K73" s="70">
        <v>5.19</v>
      </c>
      <c r="L73" s="70">
        <v>5.0990000000000002</v>
      </c>
      <c r="M73" s="71">
        <f t="shared" si="8"/>
        <v>-1.7533718689788088E-2</v>
      </c>
      <c r="N73" s="68">
        <v>4</v>
      </c>
      <c r="O73" s="68">
        <v>4</v>
      </c>
      <c r="P73" s="68">
        <v>0</v>
      </c>
      <c r="Q73" s="72">
        <v>0</v>
      </c>
      <c r="R73" s="72">
        <v>0</v>
      </c>
      <c r="S73" s="72">
        <v>0</v>
      </c>
      <c r="T73" s="72">
        <v>0</v>
      </c>
      <c r="U73" s="72">
        <v>300</v>
      </c>
      <c r="V73" s="73">
        <f>SUM(Q73:U73)*'İşçilik Parametreleri'!$B$28/1000</f>
        <v>0.3</v>
      </c>
      <c r="W73" s="70">
        <f>SUMIF('Büküm Parçaları'!$A$2:$A$213,A73,'Büküm Parçaları'!$I$2:$I$213)</f>
        <v>5.4049999999999994</v>
      </c>
      <c r="X73" s="70">
        <f>(I73*'İşçilik Parametreleri'!$B$18+IF(L73&gt;'İşçilik Parametreleri'!$B$21,'İşçilik Parametreleri'!$B$20,'İşçilik Parametreleri'!$B$19)+N73*'İşçilik Parametreleri'!$B$22)*'İşçilik Parametreleri'!$B$23</f>
        <v>12.9125</v>
      </c>
      <c r="Y73" s="70">
        <f>(IF('İşçilik Parametreleri'!$B$27="Resme göre",(Q73*INDEX('İşçilik Parametreleri'!$F$16:$I$20,1,MATCH('İşçilik Parametreleri'!$B$26,{"Manuel","Robot","HTD","Lazer"},0))+R73*INDEX('İşçilik Parametreleri'!$F$16:$I$20,2,MATCH('İşçilik Parametreleri'!$B$26,{"Manuel","Robot","HTD","Lazer"},0))+S73*INDEX('İşçilik Parametreleri'!$F$16:$I$20,3,MATCH('İşçilik Parametreleri'!$B$26,{"Manuel","Robot","HTD","Lazer"},0))+T73*INDEX('İşçilik Parametreleri'!$F$16:$I$20,4,MATCH('İşçilik Parametreleri'!$B$26,{"Manuel","Robot","HTD","Lazer"},0))+U73*INDEX('İşçilik Parametreleri'!$F$16:$I$20,5,MATCH('İşçilik Parametreleri'!$B$26,{"Manuel","Robot","HTD","Lazer"},0))),SUM(Q73:U73)*INDEX('İşçilik Parametreleri'!$F$16:$I$20,MATCH(VALUE('İşçilik Parametreleri'!$B$27),'İşçilik Parametreleri'!$E$16:$E$20,0),MATCH('İşçilik Parametreleri'!$B$26,{"Manuel","Robot","HTD","Lazer"},0)))*'İşçilik Parametreleri'!$B$28/1000+O73*IF(OR('İşçilik Parametreleri'!$B$26="Robot",'İşçilik Parametreleri'!$B$26="HTD"),'İşçilik Parametreleri'!$B$30,'İşçilik Parametreleri'!$B$29))*'İşçilik Parametreleri'!$B$31</f>
        <v>13.3</v>
      </c>
      <c r="Z73" s="74">
        <f t="shared" si="9"/>
        <v>18.970499999999998</v>
      </c>
      <c r="AA73" s="75" t="s">
        <v>86</v>
      </c>
      <c r="AB73" s="76">
        <v>10000</v>
      </c>
      <c r="AC73" s="77">
        <f>IF(AA73="Kataforez",N(AB73),IF(AA73="Yaş boya",'İşçilik Parametreleri'!$B$6/MAX(1,ROUND(IF(ISNUMBER(AB73),AB73,'İşçilik Parametreleri'!$B$7),0)),0))</f>
        <v>8.0000000000000002E-3</v>
      </c>
      <c r="AD73" s="78">
        <f>W73/100*'İşçilik Parametreleri'!$B$9+X73/100*'İşçilik Parametreleri'!$B$17+Y73/100*'İşçilik Parametreleri'!$B$25</f>
        <v>6.3234999999999992</v>
      </c>
      <c r="AE73" s="78">
        <f t="shared" si="10"/>
        <v>6.3314999999999992</v>
      </c>
      <c r="AF73" s="75">
        <v>25</v>
      </c>
      <c r="AG73" s="79">
        <f>AD73*AF73+IF(AA73="Kataforez",N(AB73)*AF73,IF(AA73="Yaş boya",ROUNDUP(AF73/MAX(1,ROUND(IF(ISNUMBER(AB73),AB73,'İşçilik Parametreleri'!$B$7),0)),0)*'İşçilik Parametreleri'!$B$6,0))</f>
        <v>238.08749999999998</v>
      </c>
      <c r="AH73" s="70">
        <f t="shared" si="11"/>
        <v>7.9043749999999999</v>
      </c>
    </row>
    <row r="74" spans="1:34" ht="15" customHeight="1" x14ac:dyDescent="0.25">
      <c r="A74" s="67" t="s">
        <v>510</v>
      </c>
      <c r="B74" s="68" t="s">
        <v>439</v>
      </c>
      <c r="C74" s="69" t="s">
        <v>203</v>
      </c>
      <c r="D74" s="68" t="s">
        <v>119</v>
      </c>
      <c r="E74" s="68" t="s">
        <v>94</v>
      </c>
      <c r="F74" s="68">
        <v>1</v>
      </c>
      <c r="G74" s="68">
        <v>4</v>
      </c>
      <c r="H74" s="68">
        <v>11</v>
      </c>
      <c r="I74" s="68">
        <v>11</v>
      </c>
      <c r="J74" s="68">
        <v>14</v>
      </c>
      <c r="K74" s="70">
        <v>46.715000000000003</v>
      </c>
      <c r="L74" s="70">
        <v>45.994</v>
      </c>
      <c r="M74" s="71">
        <f t="shared" si="8"/>
        <v>-1.5434014770416431E-2</v>
      </c>
      <c r="N74" s="68">
        <v>21</v>
      </c>
      <c r="O74" s="68">
        <v>18</v>
      </c>
      <c r="P74" s="68">
        <v>3</v>
      </c>
      <c r="Q74" s="72">
        <v>0</v>
      </c>
      <c r="R74" s="72">
        <v>0</v>
      </c>
      <c r="S74" s="72">
        <v>9974</v>
      </c>
      <c r="T74" s="72">
        <v>0</v>
      </c>
      <c r="U74" s="72">
        <v>0</v>
      </c>
      <c r="V74" s="73">
        <f>SUM(Q74:U74)*'İşçilik Parametreleri'!$B$28/1000</f>
        <v>9.9740000000000002</v>
      </c>
      <c r="W74" s="70">
        <f>SUMIF('Büküm Parçaları'!$A$2:$A$213,A74,'Büküm Parçaları'!$I$2:$I$213)</f>
        <v>49.076250000000002</v>
      </c>
      <c r="X74" s="70">
        <f>(I74*'İşçilik Parametreleri'!$B$18+IF(L74&gt;'İşçilik Parametreleri'!$B$21,'İşçilik Parametreleri'!$B$20,'İşçilik Parametreleri'!$B$19)+N74*'İşçilik Parametreleri'!$B$22)*'İşçilik Parametreleri'!$B$23</f>
        <v>48.75</v>
      </c>
      <c r="Y74" s="70">
        <f>(IF('İşçilik Parametreleri'!$B$27="Resme göre",(Q74*INDEX('İşçilik Parametreleri'!$F$16:$I$20,1,MATCH('İşçilik Parametreleri'!$B$26,{"Manuel","Robot","HTD","Lazer"},0))+R74*INDEX('İşçilik Parametreleri'!$F$16:$I$20,2,MATCH('İşçilik Parametreleri'!$B$26,{"Manuel","Robot","HTD","Lazer"},0))+S74*INDEX('İşçilik Parametreleri'!$F$16:$I$20,3,MATCH('İşçilik Parametreleri'!$B$26,{"Manuel","Robot","HTD","Lazer"},0))+T74*INDEX('İşçilik Parametreleri'!$F$16:$I$20,4,MATCH('İşçilik Parametreleri'!$B$26,{"Manuel","Robot","HTD","Lazer"},0))+U74*INDEX('İşçilik Parametreleri'!$F$16:$I$20,5,MATCH('İşçilik Parametreleri'!$B$26,{"Manuel","Robot","HTD","Lazer"},0))),SUM(Q74:U74)*INDEX('İşçilik Parametreleri'!$F$16:$I$20,MATCH(VALUE('İşçilik Parametreleri'!$B$27),'İşçilik Parametreleri'!$E$16:$E$20,0),MATCH('İşçilik Parametreleri'!$B$26,{"Manuel","Robot","HTD","Lazer"},0)))*'İşçilik Parametreleri'!$B$28/1000+O74*IF(OR('İşçilik Parametreleri'!$B$26="Robot",'İşçilik Parametreleri'!$B$26="HTD"),'İşçilik Parametreleri'!$B$30,'İşçilik Parametreleri'!$B$29))*'İşçilik Parametreleri'!$B$31</f>
        <v>197.53200000000001</v>
      </c>
      <c r="Z74" s="74">
        <f t="shared" si="9"/>
        <v>177.21494999999999</v>
      </c>
      <c r="AA74" s="75" t="s">
        <v>94</v>
      </c>
      <c r="AB74" s="76"/>
      <c r="AC74" s="77">
        <f>IF(AA74="Kataforez",N(AB74),IF(AA74="Yaş boya",'İşçilik Parametreleri'!$B$6/MAX(1,ROUND(IF(ISNUMBER(AB74),AB74,'İşçilik Parametreleri'!$B$7),0)),0))</f>
        <v>0</v>
      </c>
      <c r="AD74" s="78">
        <f>W74/100*'İşçilik Parametreleri'!$B$9+X74/100*'İşçilik Parametreleri'!$B$17+Y74/100*'İşçilik Parametreleri'!$B$25</f>
        <v>59.071650000000005</v>
      </c>
      <c r="AE74" s="78">
        <f t="shared" si="10"/>
        <v>59.071650000000005</v>
      </c>
      <c r="AF74" s="75">
        <v>5</v>
      </c>
      <c r="AG74" s="79">
        <f>AD74*AF74+IF(AA74="Kataforez",N(AB74)*AF74,IF(AA74="Yaş boya",ROUNDUP(AF74/MAX(1,ROUND(IF(ISNUMBER(AB74),AB74,'İşçilik Parametreleri'!$B$7),0)),0)*'İşçilik Parametreleri'!$B$6,0))</f>
        <v>295.35825</v>
      </c>
      <c r="AH74" s="70">
        <f t="shared" si="11"/>
        <v>14.7679125</v>
      </c>
    </row>
    <row r="75" spans="1:34" ht="15" customHeight="1" x14ac:dyDescent="0.25">
      <c r="A75" s="82" t="s">
        <v>511</v>
      </c>
      <c r="B75" s="68" t="s">
        <v>439</v>
      </c>
      <c r="C75" s="69" t="s">
        <v>205</v>
      </c>
      <c r="D75" s="68" t="s">
        <v>156</v>
      </c>
      <c r="E75" s="68" t="s">
        <v>447</v>
      </c>
      <c r="F75" s="68">
        <v>1</v>
      </c>
      <c r="G75" s="68">
        <v>3</v>
      </c>
      <c r="H75" s="68">
        <v>3</v>
      </c>
      <c r="I75" s="68">
        <v>3</v>
      </c>
      <c r="J75" s="68">
        <v>3</v>
      </c>
      <c r="K75" s="70">
        <v>9.9830000000000005</v>
      </c>
      <c r="L75" s="70">
        <v>10.012</v>
      </c>
      <c r="M75" s="71">
        <f t="shared" si="8"/>
        <v>2.9049383952719538E-3</v>
      </c>
      <c r="N75" s="68">
        <v>3</v>
      </c>
      <c r="O75" s="68">
        <v>3</v>
      </c>
      <c r="P75" s="68">
        <v>0</v>
      </c>
      <c r="Q75" s="72">
        <v>0</v>
      </c>
      <c r="R75" s="72">
        <v>0</v>
      </c>
      <c r="S75" s="72">
        <v>0</v>
      </c>
      <c r="T75" s="72">
        <v>483</v>
      </c>
      <c r="U75" s="72">
        <v>0</v>
      </c>
      <c r="V75" s="73">
        <f>SUM(Q75:U75)*'İşçilik Parametreleri'!$B$28/1000</f>
        <v>0.48299999999999998</v>
      </c>
      <c r="W75" s="70">
        <f>SUMIF('Büküm Parçaları'!$A$2:$A$213,A75,'Büküm Parçaları'!$I$2:$I$213)</f>
        <v>17.278750000000002</v>
      </c>
      <c r="X75" s="70">
        <f>(I75*'İşçilik Parametreleri'!$B$18+IF(L75&gt;'İşçilik Parametreleri'!$B$21,'İşçilik Parametreleri'!$B$20,'İşçilik Parametreleri'!$B$19)+N75*'İşçilik Parametreleri'!$B$22)*'İşçilik Parametreleri'!$B$23</f>
        <v>11.6625</v>
      </c>
      <c r="Y75" s="70">
        <f>(IF('İşçilik Parametreleri'!$B$27="Resme göre",(Q75*INDEX('İşçilik Parametreleri'!$F$16:$I$20,1,MATCH('İşçilik Parametreleri'!$B$26,{"Manuel","Robot","HTD","Lazer"},0))+R75*INDEX('İşçilik Parametreleri'!$F$16:$I$20,2,MATCH('İşçilik Parametreleri'!$B$26,{"Manuel","Robot","HTD","Lazer"},0))+S75*INDEX('İşçilik Parametreleri'!$F$16:$I$20,3,MATCH('İşçilik Parametreleri'!$B$26,{"Manuel","Robot","HTD","Lazer"},0))+T75*INDEX('İşçilik Parametreleri'!$F$16:$I$20,4,MATCH('İşçilik Parametreleri'!$B$26,{"Manuel","Robot","HTD","Lazer"},0))+U75*INDEX('İşçilik Parametreleri'!$F$16:$I$20,5,MATCH('İşçilik Parametreleri'!$B$26,{"Manuel","Robot","HTD","Lazer"},0))),SUM(Q75:U75)*INDEX('İşçilik Parametreleri'!$F$16:$I$20,MATCH(VALUE('İşçilik Parametreleri'!$B$27),'İşçilik Parametreleri'!$E$16:$E$20,0),MATCH('İşçilik Parametreleri'!$B$26,{"Manuel","Robot","HTD","Lazer"},0)))*'İşçilik Parametreleri'!$B$28/1000+O75*IF(OR('İşçilik Parametreleri'!$B$26="Robot",'İşçilik Parametreleri'!$B$26="HTD"),'İşçilik Parametreleri'!$B$30,'İşçilik Parametreleri'!$B$29))*'İşçilik Parametreleri'!$B$31</f>
        <v>16.041</v>
      </c>
      <c r="Z75" s="74">
        <f t="shared" si="9"/>
        <v>26.989350000000005</v>
      </c>
      <c r="AA75" s="75" t="s">
        <v>86</v>
      </c>
      <c r="AB75" s="76">
        <v>10000</v>
      </c>
      <c r="AC75" s="77">
        <f>IF(AA75="Kataforez",N(AB75),IF(AA75="Yaş boya",'İşçilik Parametreleri'!$B$6/MAX(1,ROUND(IF(ISNUMBER(AB75),AB75,'İşçilik Parametreleri'!$B$7),0)),0))</f>
        <v>8.0000000000000002E-3</v>
      </c>
      <c r="AD75" s="78">
        <f>W75/100*'İşçilik Parametreleri'!$B$9+X75/100*'İşçilik Parametreleri'!$B$17+Y75/100*'İşçilik Parametreleri'!$B$25</f>
        <v>8.9964499999999994</v>
      </c>
      <c r="AE75" s="78">
        <f t="shared" si="10"/>
        <v>9.0044499999999985</v>
      </c>
      <c r="AF75" s="75">
        <v>16</v>
      </c>
      <c r="AG75" s="79">
        <f>AD75*AF75+IF(AA75="Kataforez",N(AB75)*AF75,IF(AA75="Yaş boya",ROUNDUP(AF75/MAX(1,ROUND(IF(ISNUMBER(AB75),AB75,'İşçilik Parametreleri'!$B$7),0)),0)*'İşçilik Parametreleri'!$B$6,0))</f>
        <v>223.94319999999999</v>
      </c>
      <c r="AH75" s="70">
        <f t="shared" si="11"/>
        <v>7.1971600000000011</v>
      </c>
    </row>
    <row r="76" spans="1:34" ht="15" customHeight="1" x14ac:dyDescent="0.25">
      <c r="A76" s="82" t="s">
        <v>512</v>
      </c>
      <c r="B76" s="68" t="s">
        <v>439</v>
      </c>
      <c r="C76" s="69" t="s">
        <v>206</v>
      </c>
      <c r="D76" s="68" t="s">
        <v>130</v>
      </c>
      <c r="E76" s="68" t="s">
        <v>130</v>
      </c>
      <c r="F76" s="68">
        <v>0</v>
      </c>
      <c r="G76" s="68">
        <v>3</v>
      </c>
      <c r="H76" s="68">
        <v>4</v>
      </c>
      <c r="I76" s="68">
        <v>4</v>
      </c>
      <c r="J76" s="68">
        <v>0</v>
      </c>
      <c r="K76" s="70"/>
      <c r="L76" s="70">
        <v>10.318</v>
      </c>
      <c r="M76" s="71" t="str">
        <f t="shared" si="8"/>
        <v/>
      </c>
      <c r="N76" s="68">
        <v>5</v>
      </c>
      <c r="O76" s="68">
        <v>5</v>
      </c>
      <c r="P76" s="68">
        <v>0</v>
      </c>
      <c r="Q76" s="72">
        <v>632</v>
      </c>
      <c r="R76" s="72">
        <v>0</v>
      </c>
      <c r="S76" s="72">
        <v>0</v>
      </c>
      <c r="T76" s="72">
        <v>0</v>
      </c>
      <c r="U76" s="72">
        <v>0</v>
      </c>
      <c r="V76" s="73">
        <f>SUM(Q76:U76)*'İşçilik Parametreleri'!$B$28/1000</f>
        <v>0.63200000000000001</v>
      </c>
      <c r="W76" s="70">
        <f>SUMIF('Büküm Parçaları'!$A$2:$A$213,A76,'Büküm Parçaları'!$I$2:$I$213)</f>
        <v>0</v>
      </c>
      <c r="X76" s="70">
        <f>(I76*'İşçilik Parametreleri'!$B$18+IF(L76&gt;'İşçilik Parametreleri'!$B$21,'İşçilik Parametreleri'!$B$20,'İşçilik Parametreleri'!$B$19)+N76*'İşçilik Parametreleri'!$B$22)*'İşçilik Parametreleri'!$B$23</f>
        <v>15.4125</v>
      </c>
      <c r="Y76" s="70">
        <f>(IF('İşçilik Parametreleri'!$B$27="Resme göre",(Q76*INDEX('İşçilik Parametreleri'!$F$16:$I$20,1,MATCH('İşçilik Parametreleri'!$B$26,{"Manuel","Robot","HTD","Lazer"},0))+R76*INDEX('İşçilik Parametreleri'!$F$16:$I$20,2,MATCH('İşçilik Parametreleri'!$B$26,{"Manuel","Robot","HTD","Lazer"},0))+S76*INDEX('İşçilik Parametreleri'!$F$16:$I$20,3,MATCH('İşçilik Parametreleri'!$B$26,{"Manuel","Robot","HTD","Lazer"},0))+T76*INDEX('İşçilik Parametreleri'!$F$16:$I$20,4,MATCH('İşçilik Parametreleri'!$B$26,{"Manuel","Robot","HTD","Lazer"},0))+U76*INDEX('İşçilik Parametreleri'!$F$16:$I$20,5,MATCH('İşçilik Parametreleri'!$B$26,{"Manuel","Robot","HTD","Lazer"},0))),SUM(Q76:U76)*INDEX('İşçilik Parametreleri'!$F$16:$I$20,MATCH(VALUE('İşçilik Parametreleri'!$B$27),'İşçilik Parametreleri'!$E$16:$E$20,0),MATCH('İşçilik Parametreleri'!$B$26,{"Manuel","Robot","HTD","Lazer"},0)))*'İşçilik Parametreleri'!$B$28/1000+O76*IF(OR('İşçilik Parametreleri'!$B$26="Robot",'İşçilik Parametreleri'!$B$26="HTD"),'İşçilik Parametreleri'!$B$30,'İşçilik Parametreleri'!$B$29))*'İşçilik Parametreleri'!$B$31</f>
        <v>9.4239999999999995</v>
      </c>
      <c r="Z76" s="74">
        <f t="shared" si="9"/>
        <v>14.901899999999999</v>
      </c>
      <c r="AA76" s="75" t="s">
        <v>124</v>
      </c>
      <c r="AB76" s="76"/>
      <c r="AC76" s="77">
        <f>IF(AA76="Kataforez",N(AB76),IF(AA76="Yaş boya",'İşçilik Parametreleri'!$B$6/MAX(1,ROUND(IF(ISNUMBER(AB76),AB76,'İşçilik Parametreleri'!$B$7),0)),0))</f>
        <v>0</v>
      </c>
      <c r="AD76" s="78">
        <f>W76/100*'İşçilik Parametreleri'!$B$9+X76/100*'İşçilik Parametreleri'!$B$17+Y76/100*'İşçilik Parametreleri'!$B$25</f>
        <v>4.9672999999999998</v>
      </c>
      <c r="AE76" s="78">
        <f t="shared" si="10"/>
        <v>4.9672999999999998</v>
      </c>
      <c r="AF76" s="75">
        <v>56</v>
      </c>
      <c r="AG76" s="79">
        <f>AD76*AF76+IF(AA76="Kataforez",N(AB76)*AF76,IF(AA76="Yaş boya",ROUNDUP(AF76/MAX(1,ROUND(IF(ISNUMBER(AB76),AB76,'İşçilik Parametreleri'!$B$7),0)),0)*'İşçilik Parametreleri'!$B$6,0))</f>
        <v>278.16879999999998</v>
      </c>
      <c r="AH76" s="70">
        <f t="shared" si="11"/>
        <v>13.908440000000001</v>
      </c>
    </row>
    <row r="77" spans="1:34" ht="15" customHeight="1" x14ac:dyDescent="0.25">
      <c r="A77" s="82" t="s">
        <v>513</v>
      </c>
      <c r="B77" s="68" t="s">
        <v>439</v>
      </c>
      <c r="C77" s="69" t="s">
        <v>207</v>
      </c>
      <c r="D77" s="68" t="s">
        <v>117</v>
      </c>
      <c r="E77" s="68" t="s">
        <v>442</v>
      </c>
      <c r="F77" s="68">
        <v>1</v>
      </c>
      <c r="G77" s="68">
        <v>3</v>
      </c>
      <c r="H77" s="68">
        <v>4</v>
      </c>
      <c r="I77" s="68">
        <v>4</v>
      </c>
      <c r="J77" s="68">
        <v>0</v>
      </c>
      <c r="K77" s="70">
        <v>8.3439999999999994</v>
      </c>
      <c r="L77" s="70">
        <v>8.0739999999999998</v>
      </c>
      <c r="M77" s="71">
        <f t="shared" si="8"/>
        <v>-3.2358581016299091E-2</v>
      </c>
      <c r="N77" s="68">
        <v>5</v>
      </c>
      <c r="O77" s="68">
        <v>5</v>
      </c>
      <c r="P77" s="68">
        <v>0</v>
      </c>
      <c r="Q77" s="72">
        <v>0</v>
      </c>
      <c r="R77" s="72">
        <v>0</v>
      </c>
      <c r="S77" s="72">
        <v>0</v>
      </c>
      <c r="T77" s="72">
        <v>0</v>
      </c>
      <c r="U77" s="72">
        <v>522</v>
      </c>
      <c r="V77" s="73">
        <f>SUM(Q77:U77)*'İşçilik Parametreleri'!$B$28/1000</f>
        <v>0.52200000000000002</v>
      </c>
      <c r="W77" s="70">
        <f>SUMIF('Büküm Parçaları'!$A$2:$A$213,A77,'Büküm Parçaları'!$I$2:$I$213)</f>
        <v>0</v>
      </c>
      <c r="X77" s="70">
        <f>(I77*'İşçilik Parametreleri'!$B$18+IF(L77&gt;'İşçilik Parametreleri'!$B$21,'İşçilik Parametreleri'!$B$20,'İşçilik Parametreleri'!$B$19)+N77*'İşçilik Parametreleri'!$B$22)*'İşçilik Parametreleri'!$B$23</f>
        <v>15.4125</v>
      </c>
      <c r="Y77" s="70">
        <f>(IF('İşçilik Parametreleri'!$B$27="Resme göre",(Q77*INDEX('İşçilik Parametreleri'!$F$16:$I$20,1,MATCH('İşçilik Parametreleri'!$B$26,{"Manuel","Robot","HTD","Lazer"},0))+R77*INDEX('İşçilik Parametreleri'!$F$16:$I$20,2,MATCH('İşçilik Parametreleri'!$B$26,{"Manuel","Robot","HTD","Lazer"},0))+S77*INDEX('İşçilik Parametreleri'!$F$16:$I$20,3,MATCH('İşçilik Parametreleri'!$B$26,{"Manuel","Robot","HTD","Lazer"},0))+T77*INDEX('İşçilik Parametreleri'!$F$16:$I$20,4,MATCH('İşçilik Parametreleri'!$B$26,{"Manuel","Robot","HTD","Lazer"},0))+U77*INDEX('İşçilik Parametreleri'!$F$16:$I$20,5,MATCH('İşçilik Parametreleri'!$B$26,{"Manuel","Robot","HTD","Lazer"},0))),SUM(Q77:U77)*INDEX('İşçilik Parametreleri'!$F$16:$I$20,MATCH(VALUE('İşçilik Parametreleri'!$B$27),'İşçilik Parametreleri'!$E$16:$E$20,0),MATCH('İşçilik Parametreleri'!$B$26,{"Manuel","Robot","HTD","Lazer"},0)))*'İşçilik Parametreleri'!$B$28/1000+O77*IF(OR('İşçilik Parametreleri'!$B$26="Robot",'İşçilik Parametreleri'!$B$26="HTD"),'İşçilik Parametreleri'!$B$30,'İşçilik Parametreleri'!$B$29))*'İşçilik Parametreleri'!$B$31</f>
        <v>21.181999999999999</v>
      </c>
      <c r="Z77" s="74">
        <f t="shared" si="9"/>
        <v>21.956699999999998</v>
      </c>
      <c r="AA77" s="75" t="s">
        <v>86</v>
      </c>
      <c r="AB77" s="76">
        <v>10000</v>
      </c>
      <c r="AC77" s="77">
        <f>IF(AA77="Kataforez",N(AB77),IF(AA77="Yaş boya",'İşçilik Parametreleri'!$B$6/MAX(1,ROUND(IF(ISNUMBER(AB77),AB77,'İşçilik Parametreleri'!$B$7),0)),0))</f>
        <v>8.0000000000000002E-3</v>
      </c>
      <c r="AD77" s="78">
        <f>W77/100*'İşçilik Parametreleri'!$B$9+X77/100*'İşçilik Parametreleri'!$B$17+Y77/100*'İşçilik Parametreleri'!$B$25</f>
        <v>7.3188999999999993</v>
      </c>
      <c r="AE77" s="78">
        <f t="shared" si="10"/>
        <v>7.3268999999999993</v>
      </c>
      <c r="AF77" s="75">
        <v>16</v>
      </c>
      <c r="AG77" s="79">
        <f>AD77*AF77+IF(AA77="Kataforez",N(AB77)*AF77,IF(AA77="Yaş boya",ROUNDUP(AF77/MAX(1,ROUND(IF(ISNUMBER(AB77),AB77,'İşçilik Parametreleri'!$B$7),0)),0)*'İşçilik Parametreleri'!$B$6,0))</f>
        <v>197.10239999999999</v>
      </c>
      <c r="AH77" s="70">
        <f t="shared" si="11"/>
        <v>5.8551199999999994</v>
      </c>
    </row>
    <row r="78" spans="1:34" ht="15" customHeight="1" x14ac:dyDescent="0.25">
      <c r="A78" s="82" t="s">
        <v>514</v>
      </c>
      <c r="B78" s="80" t="s">
        <v>23</v>
      </c>
      <c r="C78" s="81" t="s">
        <v>208</v>
      </c>
      <c r="D78" s="68" t="s">
        <v>93</v>
      </c>
      <c r="E78" s="68" t="s">
        <v>442</v>
      </c>
      <c r="F78" s="68">
        <v>1</v>
      </c>
      <c r="G78" s="68">
        <v>2</v>
      </c>
      <c r="H78" s="68">
        <v>3</v>
      </c>
      <c r="I78" s="68">
        <v>3</v>
      </c>
      <c r="J78" s="68">
        <v>4</v>
      </c>
      <c r="K78" s="70">
        <v>2.0409999999999999</v>
      </c>
      <c r="L78" s="70">
        <v>1.9590000000000001</v>
      </c>
      <c r="M78" s="71">
        <f t="shared" si="8"/>
        <v>-4.0176384125428642E-2</v>
      </c>
      <c r="N78" s="68">
        <v>4</v>
      </c>
      <c r="O78" s="68">
        <v>4</v>
      </c>
      <c r="P78" s="68">
        <v>0</v>
      </c>
      <c r="Q78" s="72">
        <v>0</v>
      </c>
      <c r="R78" s="72">
        <v>200</v>
      </c>
      <c r="S78" s="72">
        <v>0</v>
      </c>
      <c r="T78" s="72">
        <v>0</v>
      </c>
      <c r="U78" s="72">
        <v>0</v>
      </c>
      <c r="V78" s="73">
        <f>SUM(Q78:U78)*'İşçilik Parametreleri'!$B$28/1000</f>
        <v>0.2</v>
      </c>
      <c r="W78" s="70">
        <f>SUMIF('Büküm Parçaları'!$A$2:$A$213,A78,'Büküm Parçaları'!$I$2:$I$213)</f>
        <v>17.364999999999998</v>
      </c>
      <c r="X78" s="70">
        <f>(I78*'İşçilik Parametreleri'!$B$18+IF(L78&gt;'İşçilik Parametreleri'!$B$21,'İşçilik Parametreleri'!$B$20,'İşçilik Parametreleri'!$B$19)+N78*'İşçilik Parametreleri'!$B$22)*'İşçilik Parametreleri'!$B$23</f>
        <v>12.9125</v>
      </c>
      <c r="Y78" s="70">
        <f>(IF('İşçilik Parametreleri'!$B$27="Resme göre",(Q78*INDEX('İşçilik Parametreleri'!$F$16:$I$20,1,MATCH('İşçilik Parametreleri'!$B$26,{"Manuel","Robot","HTD","Lazer"},0))+R78*INDEX('İşçilik Parametreleri'!$F$16:$I$20,2,MATCH('İşçilik Parametreleri'!$B$26,{"Manuel","Robot","HTD","Lazer"},0))+S78*INDEX('İşçilik Parametreleri'!$F$16:$I$20,3,MATCH('İşçilik Parametreleri'!$B$26,{"Manuel","Robot","HTD","Lazer"},0))+T78*INDEX('İşçilik Parametreleri'!$F$16:$I$20,4,MATCH('İşçilik Parametreleri'!$B$26,{"Manuel","Robot","HTD","Lazer"},0))+U78*INDEX('İşçilik Parametreleri'!$F$16:$I$20,5,MATCH('İşçilik Parametreleri'!$B$26,{"Manuel","Robot","HTD","Lazer"},0))),SUM(Q78:U78)*INDEX('İşçilik Parametreleri'!$F$16:$I$20,MATCH(VALUE('İşçilik Parametreleri'!$B$27),'İşçilik Parametreleri'!$E$16:$E$20,0),MATCH('İşçilik Parametreleri'!$B$26,{"Manuel","Robot","HTD","Lazer"},0)))*'İşçilik Parametreleri'!$B$28/1000+O78*IF(OR('İşçilik Parametreleri'!$B$26="Robot",'İşçilik Parametreleri'!$B$26="HTD"),'İşçilik Parametreleri'!$B$30,'İşçilik Parametreleri'!$B$29))*'İşçilik Parametreleri'!$B$31</f>
        <v>6.2</v>
      </c>
      <c r="Z78" s="74">
        <f t="shared" si="9"/>
        <v>21.886499999999998</v>
      </c>
      <c r="AA78" s="75" t="s">
        <v>86</v>
      </c>
      <c r="AB78" s="76">
        <v>10000</v>
      </c>
      <c r="AC78" s="77">
        <f>IF(AA78="Kataforez",N(AB78),IF(AA78="Yaş boya",'İşçilik Parametreleri'!$B$6/MAX(1,ROUND(IF(ISNUMBER(AB78),AB78,'İşçilik Parametreleri'!$B$7),0)),0))</f>
        <v>8.0000000000000002E-3</v>
      </c>
      <c r="AD78" s="78">
        <f>W78/100*'İşçilik Parametreleri'!$B$9+X78/100*'İşçilik Parametreleri'!$B$17+Y78/100*'İşçilik Parametreleri'!$B$25</f>
        <v>7.2954999999999988</v>
      </c>
      <c r="AE78" s="78">
        <f t="shared" si="10"/>
        <v>7.3034999999999988</v>
      </c>
      <c r="AF78" s="75">
        <v>16</v>
      </c>
      <c r="AG78" s="79">
        <f>AD78*AF78+IF(AA78="Kataforez",N(AB78)*AF78,IF(AA78="Yaş boya",ROUNDUP(AF78/MAX(1,ROUND(IF(ISNUMBER(AB78),AB78,'İşçilik Parametreleri'!$B$7),0)),0)*'İşçilik Parametreleri'!$B$6,0))</f>
        <v>196.72799999999998</v>
      </c>
      <c r="AH78" s="70">
        <f t="shared" si="11"/>
        <v>5.8364000000000003</v>
      </c>
    </row>
    <row r="79" spans="1:34" ht="15" customHeight="1" x14ac:dyDescent="0.25">
      <c r="A79" s="82" t="s">
        <v>515</v>
      </c>
      <c r="B79" s="80" t="s">
        <v>23</v>
      </c>
      <c r="C79" s="81" t="s">
        <v>209</v>
      </c>
      <c r="D79" s="68" t="s">
        <v>139</v>
      </c>
      <c r="E79" s="68" t="s">
        <v>442</v>
      </c>
      <c r="F79" s="68">
        <v>1</v>
      </c>
      <c r="G79" s="68">
        <v>2</v>
      </c>
      <c r="H79" s="68">
        <v>3</v>
      </c>
      <c r="I79" s="68">
        <v>3</v>
      </c>
      <c r="J79" s="68">
        <v>4</v>
      </c>
      <c r="K79" s="70">
        <v>1.8320000000000001</v>
      </c>
      <c r="L79" s="70">
        <v>1.8320000000000001</v>
      </c>
      <c r="M79" s="71">
        <f t="shared" si="8"/>
        <v>0</v>
      </c>
      <c r="N79" s="68">
        <v>4</v>
      </c>
      <c r="O79" s="68">
        <v>4</v>
      </c>
      <c r="P79" s="68">
        <v>0</v>
      </c>
      <c r="Q79" s="72">
        <v>0</v>
      </c>
      <c r="R79" s="72">
        <v>200</v>
      </c>
      <c r="S79" s="72">
        <v>0</v>
      </c>
      <c r="T79" s="72">
        <v>0</v>
      </c>
      <c r="U79" s="72">
        <v>0</v>
      </c>
      <c r="V79" s="73">
        <f>SUM(Q79:U79)*'İşçilik Parametreleri'!$B$28/1000</f>
        <v>0.2</v>
      </c>
      <c r="W79" s="70">
        <f>SUMIF('Büküm Parçaları'!$A$2:$A$213,A79,'Büküm Parçaları'!$I$2:$I$213)</f>
        <v>17.364999999999998</v>
      </c>
      <c r="X79" s="70">
        <f>(I79*'İşçilik Parametreleri'!$B$18+IF(L79&gt;'İşçilik Parametreleri'!$B$21,'İşçilik Parametreleri'!$B$20,'İşçilik Parametreleri'!$B$19)+N79*'İşçilik Parametreleri'!$B$22)*'İşçilik Parametreleri'!$B$23</f>
        <v>12.9125</v>
      </c>
      <c r="Y79" s="70">
        <f>(IF('İşçilik Parametreleri'!$B$27="Resme göre",(Q79*INDEX('İşçilik Parametreleri'!$F$16:$I$20,1,MATCH('İşçilik Parametreleri'!$B$26,{"Manuel","Robot","HTD","Lazer"},0))+R79*INDEX('İşçilik Parametreleri'!$F$16:$I$20,2,MATCH('İşçilik Parametreleri'!$B$26,{"Manuel","Robot","HTD","Lazer"},0))+S79*INDEX('İşçilik Parametreleri'!$F$16:$I$20,3,MATCH('İşçilik Parametreleri'!$B$26,{"Manuel","Robot","HTD","Lazer"},0))+T79*INDEX('İşçilik Parametreleri'!$F$16:$I$20,4,MATCH('İşçilik Parametreleri'!$B$26,{"Manuel","Robot","HTD","Lazer"},0))+U79*INDEX('İşçilik Parametreleri'!$F$16:$I$20,5,MATCH('İşçilik Parametreleri'!$B$26,{"Manuel","Robot","HTD","Lazer"},0))),SUM(Q79:U79)*INDEX('İşçilik Parametreleri'!$F$16:$I$20,MATCH(VALUE('İşçilik Parametreleri'!$B$27),'İşçilik Parametreleri'!$E$16:$E$20,0),MATCH('İşçilik Parametreleri'!$B$26,{"Manuel","Robot","HTD","Lazer"},0)))*'İşçilik Parametreleri'!$B$28/1000+O79*IF(OR('İşçilik Parametreleri'!$B$26="Robot",'İşçilik Parametreleri'!$B$26="HTD"),'İşçilik Parametreleri'!$B$30,'İşçilik Parametreleri'!$B$29))*'İşçilik Parametreleri'!$B$31</f>
        <v>6.2</v>
      </c>
      <c r="Z79" s="74">
        <f t="shared" si="9"/>
        <v>21.886499999999998</v>
      </c>
      <c r="AA79" s="75" t="s">
        <v>86</v>
      </c>
      <c r="AB79" s="76">
        <v>10000</v>
      </c>
      <c r="AC79" s="77">
        <f>IF(AA79="Kataforez",N(AB79),IF(AA79="Yaş boya",'İşçilik Parametreleri'!$B$6/MAX(1,ROUND(IF(ISNUMBER(AB79),AB79,'İşçilik Parametreleri'!$B$7),0)),0))</f>
        <v>8.0000000000000002E-3</v>
      </c>
      <c r="AD79" s="78">
        <f>W79/100*'İşçilik Parametreleri'!$B$9+X79/100*'İşçilik Parametreleri'!$B$17+Y79/100*'İşçilik Parametreleri'!$B$25</f>
        <v>7.2954999999999988</v>
      </c>
      <c r="AE79" s="78">
        <f t="shared" si="10"/>
        <v>7.3034999999999988</v>
      </c>
      <c r="AF79" s="75">
        <v>16</v>
      </c>
      <c r="AG79" s="79">
        <f>AD79*AF79+IF(AA79="Kataforez",N(AB79)*AF79,IF(AA79="Yaş boya",ROUNDUP(AF79/MAX(1,ROUND(IF(ISNUMBER(AB79),AB79,'İşçilik Parametreleri'!$B$7),0)),0)*'İşçilik Parametreleri'!$B$6,0))</f>
        <v>196.72799999999998</v>
      </c>
      <c r="AH79" s="70">
        <f t="shared" si="11"/>
        <v>5.8364000000000003</v>
      </c>
    </row>
    <row r="80" spans="1:34" ht="15" customHeight="1" x14ac:dyDescent="0.25">
      <c r="A80" s="82" t="s">
        <v>516</v>
      </c>
      <c r="B80" s="80" t="s">
        <v>23</v>
      </c>
      <c r="C80" s="81" t="s">
        <v>210</v>
      </c>
      <c r="D80" s="68" t="s">
        <v>99</v>
      </c>
      <c r="E80" s="68" t="s">
        <v>442</v>
      </c>
      <c r="F80" s="68">
        <v>1</v>
      </c>
      <c r="G80" s="68">
        <v>2</v>
      </c>
      <c r="H80" s="68">
        <v>3</v>
      </c>
      <c r="I80" s="68">
        <v>3</v>
      </c>
      <c r="J80" s="68">
        <v>2</v>
      </c>
      <c r="K80" s="70">
        <v>3.1859999999999999</v>
      </c>
      <c r="L80" s="70">
        <v>3.1560000000000001</v>
      </c>
      <c r="M80" s="71">
        <f t="shared" si="8"/>
        <v>-9.4161958568737616E-3</v>
      </c>
      <c r="N80" s="68">
        <v>2</v>
      </c>
      <c r="O80" s="68">
        <v>2</v>
      </c>
      <c r="P80" s="68">
        <v>0</v>
      </c>
      <c r="Q80" s="72">
        <v>240</v>
      </c>
      <c r="R80" s="72">
        <v>0</v>
      </c>
      <c r="S80" s="72">
        <v>0</v>
      </c>
      <c r="T80" s="72">
        <v>0</v>
      </c>
      <c r="U80" s="72">
        <v>0</v>
      </c>
      <c r="V80" s="73">
        <f>SUM(Q80:U80)*'İşçilik Parametreleri'!$B$28/1000</f>
        <v>0.24</v>
      </c>
      <c r="W80" s="70">
        <f>SUMIF('Büküm Parçaları'!$A$2:$A$213,A80,'Büküm Parçaları'!$I$2:$I$213)</f>
        <v>6.5549999999999997</v>
      </c>
      <c r="X80" s="70">
        <f>(I80*'İşçilik Parametreleri'!$B$18+IF(L80&gt;'İşçilik Parametreleri'!$B$21,'İşçilik Parametreleri'!$B$20,'İşçilik Parametreleri'!$B$19)+N80*'İşçilik Parametreleri'!$B$22)*'İşçilik Parametreleri'!$B$23</f>
        <v>10.4125</v>
      </c>
      <c r="Y80" s="70">
        <f>(IF('İşçilik Parametreleri'!$B$27="Resme göre",(Q80*INDEX('İşçilik Parametreleri'!$F$16:$I$20,1,MATCH('İşçilik Parametreleri'!$B$26,{"Manuel","Robot","HTD","Lazer"},0))+R80*INDEX('İşçilik Parametreleri'!$F$16:$I$20,2,MATCH('İşçilik Parametreleri'!$B$26,{"Manuel","Robot","HTD","Lazer"},0))+S80*INDEX('İşçilik Parametreleri'!$F$16:$I$20,3,MATCH('İşçilik Parametreleri'!$B$26,{"Manuel","Robot","HTD","Lazer"},0))+T80*INDEX('İşçilik Parametreleri'!$F$16:$I$20,4,MATCH('İşçilik Parametreleri'!$B$26,{"Manuel","Robot","HTD","Lazer"},0))+U80*INDEX('İşçilik Parametreleri'!$F$16:$I$20,5,MATCH('İşçilik Parametreleri'!$B$26,{"Manuel","Robot","HTD","Lazer"},0))),SUM(Q80:U80)*INDEX('İşçilik Parametreleri'!$F$16:$I$20,MATCH(VALUE('İşçilik Parametreleri'!$B$27),'İşçilik Parametreleri'!$E$16:$E$20,0),MATCH('İşçilik Parametreleri'!$B$26,{"Manuel","Robot","HTD","Lazer"},0)))*'İşçilik Parametreleri'!$B$28/1000+O80*IF(OR('İşçilik Parametreleri'!$B$26="Robot",'İşçilik Parametreleri'!$B$26="HTD"),'İşçilik Parametreleri'!$B$30,'İşçilik Parametreleri'!$B$29))*'İşçilik Parametreleri'!$B$31</f>
        <v>3.6799999999999997</v>
      </c>
      <c r="Z80" s="74">
        <f t="shared" si="9"/>
        <v>12.388500000000001</v>
      </c>
      <c r="AA80" s="75" t="s">
        <v>86</v>
      </c>
      <c r="AB80" s="76">
        <v>10000</v>
      </c>
      <c r="AC80" s="77">
        <f>IF(AA80="Kataforez",N(AB80),IF(AA80="Yaş boya",'İşçilik Parametreleri'!$B$6/MAX(1,ROUND(IF(ISNUMBER(AB80),AB80,'İşçilik Parametreleri'!$B$7),0)),0))</f>
        <v>8.0000000000000002E-3</v>
      </c>
      <c r="AD80" s="78">
        <f>W80/100*'İşçilik Parametreleri'!$B$9+X80/100*'İşçilik Parametreleri'!$B$17+Y80/100*'İşçilik Parametreleri'!$B$25</f>
        <v>4.1295000000000002</v>
      </c>
      <c r="AE80" s="78">
        <f t="shared" si="10"/>
        <v>4.1375000000000002</v>
      </c>
      <c r="AF80" s="75">
        <v>27</v>
      </c>
      <c r="AG80" s="79">
        <f>AD80*AF80+IF(AA80="Kataforez",N(AB80)*AF80,IF(AA80="Yaş boya",ROUNDUP(AF80/MAX(1,ROUND(IF(ISNUMBER(AB80),AB80,'İşçilik Parametreleri'!$B$7),0)),0)*'İşçilik Parametreleri'!$B$6,0))</f>
        <v>191.4965</v>
      </c>
      <c r="AH80" s="70">
        <f t="shared" si="11"/>
        <v>5.5748250000000006</v>
      </c>
    </row>
    <row r="81" spans="1:34" ht="15" customHeight="1" x14ac:dyDescent="0.25">
      <c r="A81" s="82" t="s">
        <v>517</v>
      </c>
      <c r="B81" s="80" t="s">
        <v>23</v>
      </c>
      <c r="C81" s="81" t="s">
        <v>211</v>
      </c>
      <c r="D81" s="68" t="s">
        <v>117</v>
      </c>
      <c r="E81" s="68" t="s">
        <v>130</v>
      </c>
      <c r="F81" s="68">
        <v>1</v>
      </c>
      <c r="G81" s="68">
        <v>3</v>
      </c>
      <c r="H81" s="68">
        <v>2</v>
      </c>
      <c r="I81" s="68">
        <v>1</v>
      </c>
      <c r="J81" s="68">
        <v>0</v>
      </c>
      <c r="K81" s="70">
        <v>5.5529999999999999</v>
      </c>
      <c r="L81" s="70">
        <v>5.5640000000000001</v>
      </c>
      <c r="M81" s="71">
        <f t="shared" si="8"/>
        <v>1.9809112191608359E-3</v>
      </c>
      <c r="N81" s="68">
        <v>2</v>
      </c>
      <c r="O81" s="68">
        <v>2</v>
      </c>
      <c r="P81" s="68">
        <v>0</v>
      </c>
      <c r="Q81" s="72">
        <v>160</v>
      </c>
      <c r="R81" s="72">
        <v>0</v>
      </c>
      <c r="S81" s="72">
        <v>0</v>
      </c>
      <c r="T81" s="72">
        <v>0</v>
      </c>
      <c r="U81" s="72">
        <v>0</v>
      </c>
      <c r="V81" s="73">
        <f>SUM(Q81:U81)*'İşçilik Parametreleri'!$B$28/1000</f>
        <v>0.16</v>
      </c>
      <c r="W81" s="70">
        <f>SUMIF('Büküm Parçaları'!$A$2:$A$213,A81,'Büküm Parçaları'!$I$2:$I$213)</f>
        <v>0</v>
      </c>
      <c r="X81" s="70">
        <f>(I81*'İşçilik Parametreleri'!$B$18+IF(L81&gt;'İşçilik Parametreleri'!$B$21,'İşçilik Parametreleri'!$B$20,'İşçilik Parametreleri'!$B$19)+N81*'İşçilik Parametreleri'!$B$22)*'İşçilik Parametreleri'!$B$23</f>
        <v>7.9124999999999996</v>
      </c>
      <c r="Y81" s="70">
        <f>(IF('İşçilik Parametreleri'!$B$27="Resme göre",(Q81*INDEX('İşçilik Parametreleri'!$F$16:$I$20,1,MATCH('İşçilik Parametreleri'!$B$26,{"Manuel","Robot","HTD","Lazer"},0))+R81*INDEX('İşçilik Parametreleri'!$F$16:$I$20,2,MATCH('İşçilik Parametreleri'!$B$26,{"Manuel","Robot","HTD","Lazer"},0))+S81*INDEX('İşçilik Parametreleri'!$F$16:$I$20,3,MATCH('İşçilik Parametreleri'!$B$26,{"Manuel","Robot","HTD","Lazer"},0))+T81*INDEX('İşçilik Parametreleri'!$F$16:$I$20,4,MATCH('İşçilik Parametreleri'!$B$26,{"Manuel","Robot","HTD","Lazer"},0))+U81*INDEX('İşçilik Parametreleri'!$F$16:$I$20,5,MATCH('İşçilik Parametreleri'!$B$26,{"Manuel","Robot","HTD","Lazer"},0))),SUM(Q81:U81)*INDEX('İşçilik Parametreleri'!$F$16:$I$20,MATCH(VALUE('İşçilik Parametreleri'!$B$27),'İşçilik Parametreleri'!$E$16:$E$20,0),MATCH('İşçilik Parametreleri'!$B$26,{"Manuel","Robot","HTD","Lazer"},0)))*'İşçilik Parametreleri'!$B$28/1000+O81*IF(OR('İşçilik Parametreleri'!$B$26="Robot",'İşçilik Parametreleri'!$B$26="HTD"),'İşçilik Parametreleri'!$B$30,'İşçilik Parametreleri'!$B$29))*'İşçilik Parametreleri'!$B$31</f>
        <v>3.12</v>
      </c>
      <c r="Z81" s="74">
        <f t="shared" si="9"/>
        <v>6.6194999999999995</v>
      </c>
      <c r="AA81" s="75" t="s">
        <v>124</v>
      </c>
      <c r="AB81" s="76"/>
      <c r="AC81" s="77">
        <f>IF(AA81="Kataforez",N(AB81),IF(AA81="Yaş boya",'İşçilik Parametreleri'!$B$6/MAX(1,ROUND(IF(ISNUMBER(AB81),AB81,'İşçilik Parametreleri'!$B$7),0)),0))</f>
        <v>0</v>
      </c>
      <c r="AD81" s="78">
        <f>W81/100*'İşçilik Parametreleri'!$B$9+X81/100*'İşçilik Parametreleri'!$B$17+Y81/100*'İşçilik Parametreleri'!$B$25</f>
        <v>2.2065000000000001</v>
      </c>
      <c r="AE81" s="78">
        <f t="shared" si="10"/>
        <v>2.2065000000000001</v>
      </c>
      <c r="AF81" s="75">
        <v>114</v>
      </c>
      <c r="AG81" s="79">
        <f>AD81*AF81+IF(AA81="Kataforez",N(AB81)*AF81,IF(AA81="Yaş boya",ROUNDUP(AF81/MAX(1,ROUND(IF(ISNUMBER(AB81),AB81,'İşçilik Parametreleri'!$B$7),0)),0)*'İşçilik Parametreleri'!$B$6,0))</f>
        <v>251.54100000000003</v>
      </c>
      <c r="AH81" s="70">
        <f t="shared" si="11"/>
        <v>12.57705</v>
      </c>
    </row>
    <row r="82" spans="1:34" ht="15" customHeight="1" x14ac:dyDescent="0.25">
      <c r="A82" s="82" t="s">
        <v>518</v>
      </c>
      <c r="B82" s="80" t="s">
        <v>23</v>
      </c>
      <c r="C82" s="81" t="s">
        <v>212</v>
      </c>
      <c r="D82" s="68" t="s">
        <v>194</v>
      </c>
      <c r="E82" s="68" t="s">
        <v>442</v>
      </c>
      <c r="F82" s="68">
        <v>1</v>
      </c>
      <c r="G82" s="68">
        <v>2</v>
      </c>
      <c r="H82" s="68">
        <v>3</v>
      </c>
      <c r="I82" s="68">
        <v>3</v>
      </c>
      <c r="J82" s="68">
        <v>1</v>
      </c>
      <c r="K82" s="70">
        <v>3.165</v>
      </c>
      <c r="L82" s="70">
        <v>3.0609999999999999</v>
      </c>
      <c r="M82" s="71">
        <f t="shared" si="8"/>
        <v>-3.2859399684044263E-2</v>
      </c>
      <c r="N82" s="68">
        <v>4</v>
      </c>
      <c r="O82" s="68">
        <v>4</v>
      </c>
      <c r="P82" s="68">
        <v>0</v>
      </c>
      <c r="Q82" s="72">
        <v>600</v>
      </c>
      <c r="R82" s="72">
        <v>0</v>
      </c>
      <c r="S82" s="72">
        <v>0</v>
      </c>
      <c r="T82" s="72">
        <v>0</v>
      </c>
      <c r="U82" s="72">
        <v>0</v>
      </c>
      <c r="V82" s="73">
        <f>SUM(Q82:U82)*'İşçilik Parametreleri'!$B$28/1000</f>
        <v>0.6</v>
      </c>
      <c r="W82" s="70">
        <f>SUMIF('Büküm Parçaları'!$A$2:$A$213,A82,'Büküm Parçaları'!$I$2:$I$213)</f>
        <v>5.4049999999999994</v>
      </c>
      <c r="X82" s="70">
        <f>(I82*'İşçilik Parametreleri'!$B$18+IF(L82&gt;'İşçilik Parametreleri'!$B$21,'İşçilik Parametreleri'!$B$20,'İşçilik Parametreleri'!$B$19)+N82*'İşçilik Parametreleri'!$B$22)*'İşçilik Parametreleri'!$B$23</f>
        <v>12.9125</v>
      </c>
      <c r="Y82" s="70">
        <f>(IF('İşçilik Parametreleri'!$B$27="Resme göre",(Q82*INDEX('İşçilik Parametreleri'!$F$16:$I$20,1,MATCH('İşçilik Parametreleri'!$B$26,{"Manuel","Robot","HTD","Lazer"},0))+R82*INDEX('İşçilik Parametreleri'!$F$16:$I$20,2,MATCH('İşçilik Parametreleri'!$B$26,{"Manuel","Robot","HTD","Lazer"},0))+S82*INDEX('İşçilik Parametreleri'!$F$16:$I$20,3,MATCH('İşçilik Parametreleri'!$B$26,{"Manuel","Robot","HTD","Lazer"},0))+T82*INDEX('İşçilik Parametreleri'!$F$16:$I$20,4,MATCH('İşçilik Parametreleri'!$B$26,{"Manuel","Robot","HTD","Lazer"},0))+U82*INDEX('İşçilik Parametreleri'!$F$16:$I$20,5,MATCH('İşçilik Parametreleri'!$B$26,{"Manuel","Robot","HTD","Lazer"},0))),SUM(Q82:U82)*INDEX('İşçilik Parametreleri'!$F$16:$I$20,MATCH(VALUE('İşçilik Parametreleri'!$B$27),'İşçilik Parametreleri'!$E$16:$E$20,0),MATCH('İşçilik Parametreleri'!$B$26,{"Manuel","Robot","HTD","Lazer"},0)))*'İşçilik Parametreleri'!$B$28/1000+O82*IF(OR('İşçilik Parametreleri'!$B$26="Robot",'İşçilik Parametreleri'!$B$26="HTD"),'İşçilik Parametreleri'!$B$30,'İşçilik Parametreleri'!$B$29))*'İşçilik Parametreleri'!$B$31</f>
        <v>8.1999999999999993</v>
      </c>
      <c r="Z82" s="74">
        <f t="shared" si="9"/>
        <v>15.910499999999999</v>
      </c>
      <c r="AA82" s="75" t="s">
        <v>86</v>
      </c>
      <c r="AB82" s="76">
        <v>10000</v>
      </c>
      <c r="AC82" s="77">
        <f>IF(AA82="Kataforez",N(AB82),IF(AA82="Yaş boya",'İşçilik Parametreleri'!$B$6/MAX(1,ROUND(IF(ISNUMBER(AB82),AB82,'İşçilik Parametreleri'!$B$7),0)),0))</f>
        <v>8.0000000000000002E-3</v>
      </c>
      <c r="AD82" s="78">
        <f>W82/100*'İşçilik Parametreleri'!$B$9+X82/100*'İşçilik Parametreleri'!$B$17+Y82/100*'İşçilik Parametreleri'!$B$25</f>
        <v>5.3034999999999997</v>
      </c>
      <c r="AE82" s="78">
        <f t="shared" si="10"/>
        <v>5.3114999999999997</v>
      </c>
      <c r="AF82" s="75">
        <v>19</v>
      </c>
      <c r="AG82" s="79">
        <f>AD82*AF82+IF(AA82="Kataforez",N(AB82)*AF82,IF(AA82="Yaş boya",ROUNDUP(AF82/MAX(1,ROUND(IF(ISNUMBER(AB82),AB82,'İşçilik Parametreleri'!$B$7),0)),0)*'İşçilik Parametreleri'!$B$6,0))</f>
        <v>180.76650000000001</v>
      </c>
      <c r="AH82" s="70">
        <f t="shared" si="11"/>
        <v>5.0383249999999995</v>
      </c>
    </row>
    <row r="83" spans="1:34" ht="15" customHeight="1" x14ac:dyDescent="0.25">
      <c r="A83" s="82" t="s">
        <v>519</v>
      </c>
      <c r="B83" s="80" t="s">
        <v>23</v>
      </c>
      <c r="C83" s="81" t="s">
        <v>213</v>
      </c>
      <c r="D83" s="68" t="s">
        <v>139</v>
      </c>
      <c r="E83" s="68" t="s">
        <v>442</v>
      </c>
      <c r="F83" s="68">
        <v>2</v>
      </c>
      <c r="G83" s="68">
        <v>2</v>
      </c>
      <c r="H83" s="68">
        <v>3</v>
      </c>
      <c r="I83" s="68">
        <v>3</v>
      </c>
      <c r="J83" s="68">
        <v>2</v>
      </c>
      <c r="K83" s="70">
        <v>1.4390000000000001</v>
      </c>
      <c r="L83" s="70">
        <v>1.647</v>
      </c>
      <c r="M83" s="71">
        <f t="shared" si="8"/>
        <v>0.14454482279360664</v>
      </c>
      <c r="N83" s="68">
        <v>2</v>
      </c>
      <c r="O83" s="68">
        <v>2</v>
      </c>
      <c r="P83" s="68">
        <v>0</v>
      </c>
      <c r="Q83" s="72">
        <v>0</v>
      </c>
      <c r="R83" s="72">
        <v>550</v>
      </c>
      <c r="S83" s="72">
        <v>0</v>
      </c>
      <c r="T83" s="72">
        <v>0</v>
      </c>
      <c r="U83" s="72">
        <v>0</v>
      </c>
      <c r="V83" s="73">
        <f>SUM(Q83:U83)*'İşçilik Parametreleri'!$B$28/1000</f>
        <v>0.55000000000000004</v>
      </c>
      <c r="W83" s="70">
        <f>SUMIF('Büküm Parçaları'!$A$2:$A$213,A83,'Büküm Parçaları'!$I$2:$I$213)</f>
        <v>6.5549999999999997</v>
      </c>
      <c r="X83" s="70">
        <f>(I83*'İşçilik Parametreleri'!$B$18+IF(L83&gt;'İşçilik Parametreleri'!$B$21,'İşçilik Parametreleri'!$B$20,'İşçilik Parametreleri'!$B$19)+N83*'İşçilik Parametreleri'!$B$22)*'İşçilik Parametreleri'!$B$23</f>
        <v>10.4125</v>
      </c>
      <c r="Y83" s="70">
        <f>(IF('İşçilik Parametreleri'!$B$27="Resme göre",(Q83*INDEX('İşçilik Parametreleri'!$F$16:$I$20,1,MATCH('İşçilik Parametreleri'!$B$26,{"Manuel","Robot","HTD","Lazer"},0))+R83*INDEX('İşçilik Parametreleri'!$F$16:$I$20,2,MATCH('İşçilik Parametreleri'!$B$26,{"Manuel","Robot","HTD","Lazer"},0))+S83*INDEX('İşçilik Parametreleri'!$F$16:$I$20,3,MATCH('İşçilik Parametreleri'!$B$26,{"Manuel","Robot","HTD","Lazer"},0))+T83*INDEX('İşçilik Parametreleri'!$F$16:$I$20,4,MATCH('İşçilik Parametreleri'!$B$26,{"Manuel","Robot","HTD","Lazer"},0))+U83*INDEX('İşçilik Parametreleri'!$F$16:$I$20,5,MATCH('İşçilik Parametreleri'!$B$26,{"Manuel","Robot","HTD","Lazer"},0))),SUM(Q83:U83)*INDEX('İşçilik Parametreleri'!$F$16:$I$20,MATCH(VALUE('İşçilik Parametreleri'!$B$27),'İşçilik Parametreleri'!$E$16:$E$20,0),MATCH('İşçilik Parametreleri'!$B$26,{"Manuel","Robot","HTD","Lazer"},0)))*'İşçilik Parametreleri'!$B$28/1000+O83*IF(OR('İşçilik Parametreleri'!$B$26="Robot",'İşçilik Parametreleri'!$B$26="HTD"),'İşçilik Parametreleri'!$B$30,'İşçilik Parametreleri'!$B$29))*'İşçilik Parametreleri'!$B$31</f>
        <v>8.0500000000000007</v>
      </c>
      <c r="Z83" s="74">
        <f t="shared" si="9"/>
        <v>15.0105</v>
      </c>
      <c r="AA83" s="75" t="s">
        <v>86</v>
      </c>
      <c r="AB83" s="76">
        <v>10000</v>
      </c>
      <c r="AC83" s="77">
        <f>IF(AA83="Kataforez",N(AB83),IF(AA83="Yaş boya",'İşçilik Parametreleri'!$B$6/MAX(1,ROUND(IF(ISNUMBER(AB83),AB83,'İşçilik Parametreleri'!$B$7),0)),0))</f>
        <v>8.0000000000000002E-3</v>
      </c>
      <c r="AD83" s="78">
        <f>W83/100*'İşçilik Parametreleri'!$B$9+X83/100*'İşçilik Parametreleri'!$B$17+Y83/100*'İşçilik Parametreleri'!$B$25</f>
        <v>5.0034999999999998</v>
      </c>
      <c r="AE83" s="78">
        <f t="shared" si="10"/>
        <v>5.0114999999999998</v>
      </c>
      <c r="AF83" s="75">
        <v>20</v>
      </c>
      <c r="AG83" s="79">
        <f>AD83*AF83+IF(AA83="Kataforez",N(AB83)*AF83,IF(AA83="Yaş boya",ROUNDUP(AF83/MAX(1,ROUND(IF(ISNUMBER(AB83),AB83,'İşçilik Parametreleri'!$B$7),0)),0)*'İşçilik Parametreleri'!$B$6,0))</f>
        <v>180.07</v>
      </c>
      <c r="AH83" s="70">
        <f t="shared" si="11"/>
        <v>5.0034999999999998</v>
      </c>
    </row>
    <row r="84" spans="1:34" ht="15" customHeight="1" x14ac:dyDescent="0.25">
      <c r="A84" s="82" t="s">
        <v>520</v>
      </c>
      <c r="B84" s="80" t="s">
        <v>23</v>
      </c>
      <c r="C84" s="81" t="s">
        <v>214</v>
      </c>
      <c r="D84" s="68" t="s">
        <v>117</v>
      </c>
      <c r="E84" s="68" t="s">
        <v>442</v>
      </c>
      <c r="F84" s="68">
        <v>1</v>
      </c>
      <c r="G84" s="68">
        <v>2</v>
      </c>
      <c r="H84" s="68">
        <v>3</v>
      </c>
      <c r="I84" s="68">
        <v>3</v>
      </c>
      <c r="J84" s="68">
        <v>2</v>
      </c>
      <c r="K84" s="70">
        <v>1.7809999999999999</v>
      </c>
      <c r="L84" s="70">
        <v>1.7430000000000001</v>
      </c>
      <c r="M84" s="71">
        <f t="shared" si="8"/>
        <v>-2.1336327905670867E-2</v>
      </c>
      <c r="N84" s="68">
        <v>2</v>
      </c>
      <c r="O84" s="68">
        <v>2</v>
      </c>
      <c r="P84" s="68">
        <v>0</v>
      </c>
      <c r="Q84" s="72">
        <v>0</v>
      </c>
      <c r="R84" s="72">
        <v>500</v>
      </c>
      <c r="S84" s="72">
        <v>0</v>
      </c>
      <c r="T84" s="72">
        <v>0</v>
      </c>
      <c r="U84" s="72">
        <v>0</v>
      </c>
      <c r="V84" s="73">
        <f>SUM(Q84:U84)*'İşçilik Parametreleri'!$B$28/1000</f>
        <v>0.5</v>
      </c>
      <c r="W84" s="70">
        <f>SUMIF('Büküm Parçaları'!$A$2:$A$213,A84,'Büküm Parçaları'!$I$2:$I$213)</f>
        <v>6.5549999999999997</v>
      </c>
      <c r="X84" s="70">
        <f>(I84*'İşçilik Parametreleri'!$B$18+IF(L84&gt;'İşçilik Parametreleri'!$B$21,'İşçilik Parametreleri'!$B$20,'İşçilik Parametreleri'!$B$19)+N84*'İşçilik Parametreleri'!$B$22)*'İşçilik Parametreleri'!$B$23</f>
        <v>10.4125</v>
      </c>
      <c r="Y84" s="70">
        <f>(IF('İşçilik Parametreleri'!$B$27="Resme göre",(Q84*INDEX('İşçilik Parametreleri'!$F$16:$I$20,1,MATCH('İşçilik Parametreleri'!$B$26,{"Manuel","Robot","HTD","Lazer"},0))+R84*INDEX('İşçilik Parametreleri'!$F$16:$I$20,2,MATCH('İşçilik Parametreleri'!$B$26,{"Manuel","Robot","HTD","Lazer"},0))+S84*INDEX('İşçilik Parametreleri'!$F$16:$I$20,3,MATCH('İşçilik Parametreleri'!$B$26,{"Manuel","Robot","HTD","Lazer"},0))+T84*INDEX('İşçilik Parametreleri'!$F$16:$I$20,4,MATCH('İşçilik Parametreleri'!$B$26,{"Manuel","Robot","HTD","Lazer"},0))+U84*INDEX('İşçilik Parametreleri'!$F$16:$I$20,5,MATCH('İşçilik Parametreleri'!$B$26,{"Manuel","Robot","HTD","Lazer"},0))),SUM(Q84:U84)*INDEX('İşçilik Parametreleri'!$F$16:$I$20,MATCH(VALUE('İşçilik Parametreleri'!$B$27),'İşçilik Parametreleri'!$E$16:$E$20,0),MATCH('İşçilik Parametreleri'!$B$26,{"Manuel","Robot","HTD","Lazer"},0)))*'İşçilik Parametreleri'!$B$28/1000+O84*IF(OR('İşçilik Parametreleri'!$B$26="Robot",'İşçilik Parametreleri'!$B$26="HTD"),'İşçilik Parametreleri'!$B$30,'İşçilik Parametreleri'!$B$29))*'İşçilik Parametreleri'!$B$31</f>
        <v>7.5</v>
      </c>
      <c r="Z84" s="74">
        <f t="shared" si="9"/>
        <v>14.6805</v>
      </c>
      <c r="AA84" s="75" t="s">
        <v>86</v>
      </c>
      <c r="AB84" s="76">
        <v>10000</v>
      </c>
      <c r="AC84" s="77">
        <f>IF(AA84="Kataforez",N(AB84),IF(AA84="Yaş boya",'İşçilik Parametreleri'!$B$6/MAX(1,ROUND(IF(ISNUMBER(AB84),AB84,'İşçilik Parametreleri'!$B$7),0)),0))</f>
        <v>8.0000000000000002E-3</v>
      </c>
      <c r="AD84" s="78">
        <f>W84/100*'İşçilik Parametreleri'!$B$9+X84/100*'İşçilik Parametreleri'!$B$17+Y84/100*'İşçilik Parametreleri'!$B$25</f>
        <v>4.8934999999999995</v>
      </c>
      <c r="AE84" s="78">
        <f t="shared" si="10"/>
        <v>4.9014999999999995</v>
      </c>
      <c r="AF84" s="75">
        <v>20</v>
      </c>
      <c r="AG84" s="79">
        <f>AD84*AF84+IF(AA84="Kataforez",N(AB84)*AF84,IF(AA84="Yaş boya",ROUNDUP(AF84/MAX(1,ROUND(IF(ISNUMBER(AB84),AB84,'İşçilik Parametreleri'!$B$7),0)),0)*'İşçilik Parametreleri'!$B$6,0))</f>
        <v>177.87</v>
      </c>
      <c r="AH84" s="70">
        <f t="shared" si="11"/>
        <v>4.8935000000000004</v>
      </c>
    </row>
    <row r="85" spans="1:34" ht="15" customHeight="1" x14ac:dyDescent="0.25">
      <c r="A85" s="67" t="s">
        <v>521</v>
      </c>
      <c r="B85" s="68" t="s">
        <v>439</v>
      </c>
      <c r="C85" s="69" t="s">
        <v>215</v>
      </c>
      <c r="D85" s="68" t="s">
        <v>216</v>
      </c>
      <c r="E85" s="68" t="s">
        <v>522</v>
      </c>
      <c r="F85" s="68">
        <v>1</v>
      </c>
      <c r="G85" s="68">
        <v>2</v>
      </c>
      <c r="H85" s="68">
        <v>11</v>
      </c>
      <c r="I85" s="68">
        <v>11</v>
      </c>
      <c r="J85" s="68">
        <v>2</v>
      </c>
      <c r="K85" s="70">
        <v>30.855</v>
      </c>
      <c r="L85" s="70">
        <v>30.943000000000001</v>
      </c>
      <c r="M85" s="71">
        <f t="shared" si="8"/>
        <v>2.8520499108734714E-3</v>
      </c>
      <c r="N85" s="68">
        <v>18</v>
      </c>
      <c r="O85" s="68">
        <v>18</v>
      </c>
      <c r="P85" s="68">
        <v>0</v>
      </c>
      <c r="Q85" s="72">
        <v>1696</v>
      </c>
      <c r="R85" s="72">
        <v>0</v>
      </c>
      <c r="S85" s="72">
        <v>0</v>
      </c>
      <c r="T85" s="72">
        <v>0</v>
      </c>
      <c r="U85" s="72">
        <v>0</v>
      </c>
      <c r="V85" s="73">
        <f>SUM(Q85:U85)*'İşçilik Parametreleri'!$B$28/1000</f>
        <v>1.696</v>
      </c>
      <c r="W85" s="70">
        <f>SUMIF('Büküm Parçaları'!$A$2:$A$213,A85,'Büküm Parçaları'!$I$2:$I$213)</f>
        <v>21.447500000000002</v>
      </c>
      <c r="X85" s="70">
        <f>(I85*'İşçilik Parametreleri'!$B$18+IF(L85&gt;'İşçilik Parametreleri'!$B$21,'İşçilik Parametreleri'!$B$20,'İşçilik Parametreleri'!$B$19)+N85*'İşçilik Parametreleri'!$B$22)*'İşçilik Parametreleri'!$B$23</f>
        <v>45</v>
      </c>
      <c r="Y85" s="70">
        <f>(IF('İşçilik Parametreleri'!$B$27="Resme göre",(Q85*INDEX('İşçilik Parametreleri'!$F$16:$I$20,1,MATCH('İşçilik Parametreleri'!$B$26,{"Manuel","Robot","HTD","Lazer"},0))+R85*INDEX('İşçilik Parametreleri'!$F$16:$I$20,2,MATCH('İşçilik Parametreleri'!$B$26,{"Manuel","Robot","HTD","Lazer"},0))+S85*INDEX('İşçilik Parametreleri'!$F$16:$I$20,3,MATCH('İşçilik Parametreleri'!$B$26,{"Manuel","Robot","HTD","Lazer"},0))+T85*INDEX('İşçilik Parametreleri'!$F$16:$I$20,4,MATCH('İşçilik Parametreleri'!$B$26,{"Manuel","Robot","HTD","Lazer"},0))+U85*INDEX('İşçilik Parametreleri'!$F$16:$I$20,5,MATCH('İşçilik Parametreleri'!$B$26,{"Manuel","Robot","HTD","Lazer"},0))),SUM(Q85:U85)*INDEX('İşçilik Parametreleri'!$F$16:$I$20,MATCH(VALUE('İşçilik Parametreleri'!$B$27),'İşçilik Parametreleri'!$E$16:$E$20,0),MATCH('İşçilik Parametreleri'!$B$26,{"Manuel","Robot","HTD","Lazer"},0)))*'İşçilik Parametreleri'!$B$28/1000+O85*IF(OR('İşçilik Parametreleri'!$B$26="Robot",'İşçilik Parametreleri'!$B$26="HTD"),'İşçilik Parametreleri'!$B$30,'İşçilik Parametreleri'!$B$29))*'İşçilik Parametreleri'!$B$31</f>
        <v>29.872</v>
      </c>
      <c r="Z85" s="74">
        <f t="shared" si="9"/>
        <v>57.791699999999999</v>
      </c>
      <c r="AA85" s="75" t="s">
        <v>86</v>
      </c>
      <c r="AB85" s="76">
        <v>10000</v>
      </c>
      <c r="AC85" s="77">
        <f>IF(AA85="Kataforez",N(AB85),IF(AA85="Yaş boya",'İşçilik Parametreleri'!$B$6/MAX(1,ROUND(IF(ISNUMBER(AB85),AB85,'İşçilik Parametreleri'!$B$7),0)),0))</f>
        <v>8.0000000000000002E-3</v>
      </c>
      <c r="AD85" s="78">
        <f>W85/100*'İşçilik Parametreleri'!$B$9+X85/100*'İşçilik Parametreleri'!$B$17+Y85/100*'İşçilik Parametreleri'!$B$25</f>
        <v>19.2639</v>
      </c>
      <c r="AE85" s="78">
        <f t="shared" si="10"/>
        <v>19.271899999999999</v>
      </c>
      <c r="AF85" s="75">
        <v>5</v>
      </c>
      <c r="AG85" s="84">
        <f>AD85*AF85+IF(AA85="Kataforez",N(AB85)*AF85,IF(AA85="Yaş boya",ROUNDUP(AF85/MAX(1,ROUND(IF(ISNUMBER(AB85),AB85,'İşçilik Parametreleri'!$B$7),0)),0)*'İşçilik Parametreleri'!$B$6,0))</f>
        <v>176.31950000000001</v>
      </c>
      <c r="AH85" s="70">
        <f t="shared" si="11"/>
        <v>4.8159749999999999</v>
      </c>
    </row>
    <row r="86" spans="1:34" ht="15" customHeight="1" x14ac:dyDescent="0.25">
      <c r="A86" s="82" t="s">
        <v>523</v>
      </c>
      <c r="B86" s="80" t="s">
        <v>23</v>
      </c>
      <c r="C86" s="81" t="s">
        <v>217</v>
      </c>
      <c r="D86" s="68" t="s">
        <v>194</v>
      </c>
      <c r="E86" s="68" t="s">
        <v>447</v>
      </c>
      <c r="F86" s="68">
        <v>1</v>
      </c>
      <c r="G86" s="68">
        <v>2</v>
      </c>
      <c r="H86" s="68">
        <v>4</v>
      </c>
      <c r="I86" s="68">
        <v>4</v>
      </c>
      <c r="J86" s="68">
        <v>0</v>
      </c>
      <c r="K86" s="70">
        <v>5.867</v>
      </c>
      <c r="L86" s="70">
        <v>5.77</v>
      </c>
      <c r="M86" s="71">
        <f t="shared" si="8"/>
        <v>-1.6533151525481578E-2</v>
      </c>
      <c r="N86" s="68">
        <v>4</v>
      </c>
      <c r="O86" s="68">
        <v>4</v>
      </c>
      <c r="P86" s="68">
        <v>0</v>
      </c>
      <c r="Q86" s="72">
        <v>0</v>
      </c>
      <c r="R86" s="72">
        <v>0</v>
      </c>
      <c r="S86" s="72">
        <v>900</v>
      </c>
      <c r="T86" s="72">
        <v>0</v>
      </c>
      <c r="U86" s="72">
        <v>0</v>
      </c>
      <c r="V86" s="73">
        <f>SUM(Q86:U86)*'İşçilik Parametreleri'!$B$28/1000</f>
        <v>0.9</v>
      </c>
      <c r="W86" s="70">
        <f>SUMIF('Büküm Parçaları'!$A$2:$A$213,A86,'Büküm Parçaları'!$I$2:$I$213)</f>
        <v>0</v>
      </c>
      <c r="X86" s="70">
        <f>(I86*'İşçilik Parametreleri'!$B$18+IF(L86&gt;'İşçilik Parametreleri'!$B$21,'İşçilik Parametreleri'!$B$20,'İşçilik Parametreleri'!$B$19)+N86*'İşçilik Parametreleri'!$B$22)*'İşçilik Parametreleri'!$B$23</f>
        <v>14.1625</v>
      </c>
      <c r="Y86" s="70">
        <f>(IF('İşçilik Parametreleri'!$B$27="Resme göre",(Q86*INDEX('İşçilik Parametreleri'!$F$16:$I$20,1,MATCH('İşçilik Parametreleri'!$B$26,{"Manuel","Robot","HTD","Lazer"},0))+R86*INDEX('İşçilik Parametreleri'!$F$16:$I$20,2,MATCH('İşçilik Parametreleri'!$B$26,{"Manuel","Robot","HTD","Lazer"},0))+S86*INDEX('İşçilik Parametreleri'!$F$16:$I$20,3,MATCH('İşçilik Parametreleri'!$B$26,{"Manuel","Robot","HTD","Lazer"},0))+T86*INDEX('İşçilik Parametreleri'!$F$16:$I$20,4,MATCH('İşçilik Parametreleri'!$B$26,{"Manuel","Robot","HTD","Lazer"},0))+U86*INDEX('İşçilik Parametreleri'!$F$16:$I$20,5,MATCH('İşçilik Parametreleri'!$B$26,{"Manuel","Robot","HTD","Lazer"},0))),SUM(Q86:U86)*INDEX('İşçilik Parametreleri'!$F$16:$I$20,MATCH(VALUE('İşçilik Parametreleri'!$B$27),'İşçilik Parametreleri'!$E$16:$E$20,0),MATCH('İşçilik Parametreleri'!$B$26,{"Manuel","Robot","HTD","Lazer"},0)))*'İşçilik Parametreleri'!$B$28/1000+O86*IF(OR('İşçilik Parametreleri'!$B$26="Robot",'İşçilik Parametreleri'!$B$26="HTD"),'İşçilik Parametreleri'!$B$30,'İşçilik Parametreleri'!$B$29))*'İşçilik Parametreleri'!$B$31</f>
        <v>20.2</v>
      </c>
      <c r="Z86" s="74">
        <f t="shared" si="9"/>
        <v>20.617499999999996</v>
      </c>
      <c r="AA86" s="75" t="s">
        <v>86</v>
      </c>
      <c r="AB86" s="76">
        <v>10000</v>
      </c>
      <c r="AC86" s="77">
        <f>IF(AA86="Kataforez",N(AB86),IF(AA86="Yaş boya",'İşçilik Parametreleri'!$B$6/MAX(1,ROUND(IF(ISNUMBER(AB86),AB86,'İşçilik Parametreleri'!$B$7),0)),0))</f>
        <v>8.0000000000000002E-3</v>
      </c>
      <c r="AD86" s="78">
        <f>W86/100*'İşçilik Parametreleri'!$B$9+X86/100*'İşçilik Parametreleri'!$B$17+Y86/100*'İşçilik Parametreleri'!$B$25</f>
        <v>6.8725000000000005</v>
      </c>
      <c r="AE86" s="78">
        <f t="shared" si="10"/>
        <v>6.8805000000000005</v>
      </c>
      <c r="AF86" s="75">
        <v>13</v>
      </c>
      <c r="AG86" s="84">
        <f>AD86*AF86+IF(AA86="Kataforez",N(AB86)*AF86,IF(AA86="Yaş boya",ROUNDUP(AF86/MAX(1,ROUND(IF(ISNUMBER(AB86),AB86,'İşçilik Parametreleri'!$B$7),0)),0)*'İşçilik Parametreleri'!$B$6,0))</f>
        <v>169.3425</v>
      </c>
      <c r="AH86" s="70">
        <f t="shared" si="11"/>
        <v>4.4671249999999993</v>
      </c>
    </row>
    <row r="87" spans="1:34" ht="15" customHeight="1" x14ac:dyDescent="0.25">
      <c r="A87" s="82" t="s">
        <v>524</v>
      </c>
      <c r="B87" s="80" t="s">
        <v>23</v>
      </c>
      <c r="C87" s="81" t="s">
        <v>219</v>
      </c>
      <c r="D87" s="68" t="s">
        <v>117</v>
      </c>
      <c r="E87" s="68" t="s">
        <v>442</v>
      </c>
      <c r="F87" s="68">
        <v>1</v>
      </c>
      <c r="G87" s="68">
        <v>2</v>
      </c>
      <c r="H87" s="68">
        <v>2</v>
      </c>
      <c r="I87" s="68">
        <v>2</v>
      </c>
      <c r="J87" s="68">
        <v>6</v>
      </c>
      <c r="K87" s="70">
        <v>4.4740000000000002</v>
      </c>
      <c r="L87" s="70">
        <v>4.4210000000000003</v>
      </c>
      <c r="M87" s="71">
        <f t="shared" si="8"/>
        <v>-1.184622261957978E-2</v>
      </c>
      <c r="N87" s="68">
        <v>4</v>
      </c>
      <c r="O87" s="68">
        <v>4</v>
      </c>
      <c r="P87" s="68">
        <v>0</v>
      </c>
      <c r="Q87" s="72">
        <v>0</v>
      </c>
      <c r="R87" s="72">
        <v>200</v>
      </c>
      <c r="S87" s="72">
        <v>0</v>
      </c>
      <c r="T87" s="72">
        <v>0</v>
      </c>
      <c r="U87" s="72">
        <v>0</v>
      </c>
      <c r="V87" s="73">
        <f>SUM(Q87:U87)*'İşçilik Parametreleri'!$B$28/1000</f>
        <v>0.2</v>
      </c>
      <c r="W87" s="70">
        <f>SUMIF('Büküm Parçaları'!$A$2:$A$213,A87,'Büküm Parçaları'!$I$2:$I$213)</f>
        <v>15.409999999999998</v>
      </c>
      <c r="X87" s="70">
        <f>(I87*'İşçilik Parametreleri'!$B$18+IF(L87&gt;'İşçilik Parametreleri'!$B$21,'İşçilik Parametreleri'!$B$20,'İşçilik Parametreleri'!$B$19)+N87*'İşçilik Parametreleri'!$B$22)*'İşçilik Parametreleri'!$B$23</f>
        <v>11.6625</v>
      </c>
      <c r="Y87" s="70">
        <f>(IF('İşçilik Parametreleri'!$B$27="Resme göre",(Q87*INDEX('İşçilik Parametreleri'!$F$16:$I$20,1,MATCH('İşçilik Parametreleri'!$B$26,{"Manuel","Robot","HTD","Lazer"},0))+R87*INDEX('İşçilik Parametreleri'!$F$16:$I$20,2,MATCH('İşçilik Parametreleri'!$B$26,{"Manuel","Robot","HTD","Lazer"},0))+S87*INDEX('İşçilik Parametreleri'!$F$16:$I$20,3,MATCH('İşçilik Parametreleri'!$B$26,{"Manuel","Robot","HTD","Lazer"},0))+T87*INDEX('İşçilik Parametreleri'!$F$16:$I$20,4,MATCH('İşçilik Parametreleri'!$B$26,{"Manuel","Robot","HTD","Lazer"},0))+U87*INDEX('İşçilik Parametreleri'!$F$16:$I$20,5,MATCH('İşçilik Parametreleri'!$B$26,{"Manuel","Robot","HTD","Lazer"},0))),SUM(Q87:U87)*INDEX('İşçilik Parametreleri'!$F$16:$I$20,MATCH(VALUE('İşçilik Parametreleri'!$B$27),'İşçilik Parametreleri'!$E$16:$E$20,0),MATCH('İşçilik Parametreleri'!$B$26,{"Manuel","Robot","HTD","Lazer"},0)))*'İşçilik Parametreleri'!$B$28/1000+O87*IF(OR('İşçilik Parametreleri'!$B$26="Robot",'İşçilik Parametreleri'!$B$26="HTD"),'İşçilik Parametreleri'!$B$30,'İşçilik Parametreleri'!$B$29))*'İşçilik Parametreleri'!$B$31</f>
        <v>6.2</v>
      </c>
      <c r="Z87" s="74">
        <f t="shared" si="9"/>
        <v>19.9635</v>
      </c>
      <c r="AA87" s="75" t="s">
        <v>86</v>
      </c>
      <c r="AB87" s="76">
        <v>10000</v>
      </c>
      <c r="AC87" s="77">
        <f>IF(AA87="Kataforez",N(AB87),IF(AA87="Yaş boya",'İşçilik Parametreleri'!$B$6/MAX(1,ROUND(IF(ISNUMBER(AB87),AB87,'İşçilik Parametreleri'!$B$7),0)),0))</f>
        <v>8.0000000000000002E-3</v>
      </c>
      <c r="AD87" s="78">
        <f>W87/100*'İşçilik Parametreleri'!$B$9+X87/100*'İşçilik Parametreleri'!$B$17+Y87/100*'İşçilik Parametreleri'!$B$25</f>
        <v>6.6545000000000005</v>
      </c>
      <c r="AE87" s="78">
        <f t="shared" si="10"/>
        <v>6.6625000000000005</v>
      </c>
      <c r="AF87" s="75">
        <v>13</v>
      </c>
      <c r="AG87" s="84">
        <f>AD87*AF87+IF(AA87="Kataforez",N(AB87)*AF87,IF(AA87="Yaş boya",ROUNDUP(AF87/MAX(1,ROUND(IF(ISNUMBER(AB87),AB87,'İşçilik Parametreleri'!$B$7),0)),0)*'İşçilik Parametreleri'!$B$6,0))</f>
        <v>166.50850000000003</v>
      </c>
      <c r="AH87" s="70">
        <f t="shared" si="11"/>
        <v>4.3254250000000001</v>
      </c>
    </row>
    <row r="88" spans="1:34" ht="15" customHeight="1" x14ac:dyDescent="0.25">
      <c r="A88" s="82" t="s">
        <v>525</v>
      </c>
      <c r="B88" s="80" t="s">
        <v>23</v>
      </c>
      <c r="C88" s="81" t="s">
        <v>220</v>
      </c>
      <c r="D88" s="68" t="s">
        <v>139</v>
      </c>
      <c r="E88" s="68" t="s">
        <v>442</v>
      </c>
      <c r="F88" s="68">
        <v>1</v>
      </c>
      <c r="G88" s="68">
        <v>2</v>
      </c>
      <c r="H88" s="68">
        <v>2</v>
      </c>
      <c r="I88" s="68">
        <v>2</v>
      </c>
      <c r="J88" s="68">
        <v>2</v>
      </c>
      <c r="K88" s="70">
        <v>4.0919999999999996</v>
      </c>
      <c r="L88" s="70">
        <v>3.9809999999999999</v>
      </c>
      <c r="M88" s="71">
        <f t="shared" si="8"/>
        <v>-2.7126099706744813E-2</v>
      </c>
      <c r="N88" s="68">
        <v>2</v>
      </c>
      <c r="O88" s="68">
        <v>2</v>
      </c>
      <c r="P88" s="68">
        <v>0</v>
      </c>
      <c r="Q88" s="72">
        <v>0</v>
      </c>
      <c r="R88" s="72">
        <v>0</v>
      </c>
      <c r="S88" s="72">
        <v>0</v>
      </c>
      <c r="T88" s="72">
        <v>0</v>
      </c>
      <c r="U88" s="72">
        <v>260</v>
      </c>
      <c r="V88" s="73">
        <f>SUM(Q88:U88)*'İşçilik Parametreleri'!$B$28/1000</f>
        <v>0.26</v>
      </c>
      <c r="W88" s="70">
        <f>SUMIF('Büküm Parçaları'!$A$2:$A$213,A88,'Büküm Parçaları'!$I$2:$I$213)</f>
        <v>6.5549999999999997</v>
      </c>
      <c r="X88" s="70">
        <f>(I88*'İşçilik Parametreleri'!$B$18+IF(L88&gt;'İşçilik Parametreleri'!$B$21,'İşçilik Parametreleri'!$B$20,'İşçilik Parametreleri'!$B$19)+N88*'İşçilik Parametreleri'!$B$22)*'İşçilik Parametreleri'!$B$23</f>
        <v>9.1624999999999996</v>
      </c>
      <c r="Y88" s="70">
        <f>(IF('İşçilik Parametreleri'!$B$27="Resme göre",(Q88*INDEX('İşçilik Parametreleri'!$F$16:$I$20,1,MATCH('İşçilik Parametreleri'!$B$26,{"Manuel","Robot","HTD","Lazer"},0))+R88*INDEX('İşçilik Parametreleri'!$F$16:$I$20,2,MATCH('İşçilik Parametreleri'!$B$26,{"Manuel","Robot","HTD","Lazer"},0))+S88*INDEX('İşçilik Parametreleri'!$F$16:$I$20,3,MATCH('İşçilik Parametreleri'!$B$26,{"Manuel","Robot","HTD","Lazer"},0))+T88*INDEX('İşçilik Parametreleri'!$F$16:$I$20,4,MATCH('İşçilik Parametreleri'!$B$26,{"Manuel","Robot","HTD","Lazer"},0))+U88*INDEX('İşçilik Parametreleri'!$F$16:$I$20,5,MATCH('İşçilik Parametreleri'!$B$26,{"Manuel","Robot","HTD","Lazer"},0))),SUM(Q88:U88)*INDEX('İşçilik Parametreleri'!$F$16:$I$20,MATCH(VALUE('İşçilik Parametreleri'!$B$27),'İşçilik Parametreleri'!$E$16:$E$20,0),MATCH('İşçilik Parametreleri'!$B$26,{"Manuel","Robot","HTD","Lazer"},0)))*'İşçilik Parametreleri'!$B$28/1000+O88*IF(OR('İşçilik Parametreleri'!$B$26="Robot",'İşçilik Parametreleri'!$B$26="HTD"),'İşçilik Parametreleri'!$B$30,'İşçilik Parametreleri'!$B$29))*'İşçilik Parametreleri'!$B$31</f>
        <v>10.06</v>
      </c>
      <c r="Z88" s="74">
        <f t="shared" si="9"/>
        <v>15.4665</v>
      </c>
      <c r="AA88" s="75" t="s">
        <v>86</v>
      </c>
      <c r="AB88" s="76">
        <v>10000</v>
      </c>
      <c r="AC88" s="77">
        <f>IF(AA88="Kataforez",N(AB88),IF(AA88="Yaş boya",'İşçilik Parametreleri'!$B$6/MAX(1,ROUND(IF(ISNUMBER(AB88),AB88,'İşçilik Parametreleri'!$B$7),0)),0))</f>
        <v>8.0000000000000002E-3</v>
      </c>
      <c r="AD88" s="78">
        <f>W88/100*'İşçilik Parametreleri'!$B$9+X88/100*'İşçilik Parametreleri'!$B$17+Y88/100*'İşçilik Parametreleri'!$B$25</f>
        <v>5.1555</v>
      </c>
      <c r="AE88" s="78">
        <f t="shared" si="10"/>
        <v>5.1635</v>
      </c>
      <c r="AF88" s="75">
        <v>16</v>
      </c>
      <c r="AG88" s="84">
        <f>AD88*AF88+IF(AA88="Kataforez",N(AB88)*AF88,IF(AA88="Yaş boya",ROUNDUP(AF88/MAX(1,ROUND(IF(ISNUMBER(AB88),AB88,'İşçilik Parametreleri'!$B$7),0)),0)*'İşçilik Parametreleri'!$B$6,0))</f>
        <v>162.488</v>
      </c>
      <c r="AH88" s="70">
        <f t="shared" si="11"/>
        <v>4.1243999999999996</v>
      </c>
    </row>
    <row r="89" spans="1:34" ht="15" customHeight="1" x14ac:dyDescent="0.25">
      <c r="A89" s="82" t="s">
        <v>526</v>
      </c>
      <c r="B89" s="80" t="s">
        <v>23</v>
      </c>
      <c r="C89" s="81" t="s">
        <v>221</v>
      </c>
      <c r="D89" s="68" t="s">
        <v>194</v>
      </c>
      <c r="E89" s="68" t="s">
        <v>447</v>
      </c>
      <c r="F89" s="68">
        <v>1</v>
      </c>
      <c r="G89" s="68">
        <v>2</v>
      </c>
      <c r="H89" s="68">
        <v>5</v>
      </c>
      <c r="I89" s="68">
        <v>5</v>
      </c>
      <c r="J89" s="68">
        <v>3</v>
      </c>
      <c r="K89" s="70">
        <v>6.9279999999999999</v>
      </c>
      <c r="L89" s="70">
        <v>6.8129999999999997</v>
      </c>
      <c r="M89" s="71">
        <f t="shared" si="8"/>
        <v>-1.6599307159353378E-2</v>
      </c>
      <c r="N89" s="68">
        <v>6</v>
      </c>
      <c r="O89" s="68">
        <v>6</v>
      </c>
      <c r="P89" s="68">
        <v>0</v>
      </c>
      <c r="Q89" s="72">
        <v>672</v>
      </c>
      <c r="R89" s="72">
        <v>0</v>
      </c>
      <c r="S89" s="72">
        <v>0</v>
      </c>
      <c r="T89" s="72">
        <v>0</v>
      </c>
      <c r="U89" s="72">
        <v>0</v>
      </c>
      <c r="V89" s="73">
        <f>SUM(Q89:U89)*'İşçilik Parametreleri'!$B$28/1000</f>
        <v>0.67200000000000004</v>
      </c>
      <c r="W89" s="70">
        <f>SUMIF('Büküm Parçaları'!$A$2:$A$213,A89,'Büküm Parçaları'!$I$2:$I$213)</f>
        <v>11.959999999999999</v>
      </c>
      <c r="X89" s="70">
        <f>(I89*'İşçilik Parametreleri'!$B$18+IF(L89&gt;'İşçilik Parametreleri'!$B$21,'İşçilik Parametreleri'!$B$20,'İşçilik Parametreleri'!$B$19)+N89*'İşçilik Parametreleri'!$B$22)*'İşçilik Parametreleri'!$B$23</f>
        <v>17.912500000000001</v>
      </c>
      <c r="Y89" s="70">
        <f>(IF('İşçilik Parametreleri'!$B$27="Resme göre",(Q89*INDEX('İşçilik Parametreleri'!$F$16:$I$20,1,MATCH('İşçilik Parametreleri'!$B$26,{"Manuel","Robot","HTD","Lazer"},0))+R89*INDEX('İşçilik Parametreleri'!$F$16:$I$20,2,MATCH('İşçilik Parametreleri'!$B$26,{"Manuel","Robot","HTD","Lazer"},0))+S89*INDEX('İşçilik Parametreleri'!$F$16:$I$20,3,MATCH('İşçilik Parametreleri'!$B$26,{"Manuel","Robot","HTD","Lazer"},0))+T89*INDEX('İşçilik Parametreleri'!$F$16:$I$20,4,MATCH('İşçilik Parametreleri'!$B$26,{"Manuel","Robot","HTD","Lazer"},0))+U89*INDEX('İşçilik Parametreleri'!$F$16:$I$20,5,MATCH('İşçilik Parametreleri'!$B$26,{"Manuel","Robot","HTD","Lazer"},0))),SUM(Q89:U89)*INDEX('İşçilik Parametreleri'!$F$16:$I$20,MATCH(VALUE('İşçilik Parametreleri'!$B$27),'İşçilik Parametreleri'!$E$16:$E$20,0),MATCH('İşçilik Parametreleri'!$B$26,{"Manuel","Robot","HTD","Lazer"},0)))*'İşçilik Parametreleri'!$B$28/1000+O89*IF(OR('İşçilik Parametreleri'!$B$26="Robot",'İşçilik Parametreleri'!$B$26="HTD"),'İşçilik Parametreleri'!$B$30,'İşçilik Parametreleri'!$B$29))*'İşçilik Parametreleri'!$B$31</f>
        <v>10.704000000000001</v>
      </c>
      <c r="Z89" s="74">
        <f t="shared" si="9"/>
        <v>24.3459</v>
      </c>
      <c r="AA89" s="75" t="s">
        <v>86</v>
      </c>
      <c r="AB89" s="76">
        <v>10000</v>
      </c>
      <c r="AC89" s="77">
        <f>IF(AA89="Kataforez",N(AB89),IF(AA89="Yaş boya",'İşçilik Parametreleri'!$B$6/MAX(1,ROUND(IF(ISNUMBER(AB89),AB89,'İşçilik Parametreleri'!$B$7),0)),0))</f>
        <v>8.0000000000000002E-3</v>
      </c>
      <c r="AD89" s="78">
        <f>W89/100*'İşçilik Parametreleri'!$B$9+X89/100*'İşçilik Parametreleri'!$B$17+Y89/100*'İşçilik Parametreleri'!$B$25</f>
        <v>8.1152999999999995</v>
      </c>
      <c r="AE89" s="78">
        <f t="shared" si="10"/>
        <v>8.1232999999999986</v>
      </c>
      <c r="AF89" s="75">
        <v>10</v>
      </c>
      <c r="AG89" s="84">
        <f>AD89*AF89+IF(AA89="Kataforez",N(AB89)*AF89,IF(AA89="Yaş boya",ROUNDUP(AF89/MAX(1,ROUND(IF(ISNUMBER(AB89),AB89,'İşçilik Parametreleri'!$B$7),0)),0)*'İşçilik Parametreleri'!$B$6,0))</f>
        <v>161.15299999999999</v>
      </c>
      <c r="AH89" s="70">
        <f t="shared" si="11"/>
        <v>4.0576500000000006</v>
      </c>
    </row>
    <row r="90" spans="1:34" ht="15" customHeight="1" x14ac:dyDescent="0.25">
      <c r="A90" s="67" t="s">
        <v>527</v>
      </c>
      <c r="B90" s="68" t="s">
        <v>439</v>
      </c>
      <c r="C90" s="69" t="s">
        <v>222</v>
      </c>
      <c r="D90" s="68" t="s">
        <v>110</v>
      </c>
      <c r="E90" s="68" t="s">
        <v>130</v>
      </c>
      <c r="F90" s="68">
        <v>1</v>
      </c>
      <c r="G90" s="68">
        <v>2</v>
      </c>
      <c r="H90" s="68">
        <v>6</v>
      </c>
      <c r="I90" s="68">
        <v>6</v>
      </c>
      <c r="J90" s="68">
        <v>4</v>
      </c>
      <c r="K90" s="70">
        <v>25.96</v>
      </c>
      <c r="L90" s="70">
        <v>26.131</v>
      </c>
      <c r="M90" s="71">
        <f t="shared" si="8"/>
        <v>6.5870570107857997E-3</v>
      </c>
      <c r="N90" s="68">
        <v>9</v>
      </c>
      <c r="O90" s="68">
        <v>9</v>
      </c>
      <c r="P90" s="68">
        <v>0</v>
      </c>
      <c r="Q90" s="72">
        <v>2289</v>
      </c>
      <c r="R90" s="72">
        <v>0</v>
      </c>
      <c r="S90" s="72">
        <v>0</v>
      </c>
      <c r="T90" s="72">
        <v>0</v>
      </c>
      <c r="U90" s="72">
        <v>0</v>
      </c>
      <c r="V90" s="73">
        <f>SUM(Q90:U90)*'İşçilik Parametreleri'!$B$28/1000</f>
        <v>2.2890000000000001</v>
      </c>
      <c r="W90" s="70">
        <f>SUMIF('Büküm Parçaları'!$A$2:$A$213,A90,'Büküm Parçaları'!$I$2:$I$213)</f>
        <v>18.428750000000001</v>
      </c>
      <c r="X90" s="70">
        <f>(I90*'İşçilik Parametreleri'!$B$18+IF(L90&gt;'İşçilik Parametreleri'!$B$21,'İşçilik Parametreleri'!$B$20,'İşçilik Parametreleri'!$B$19)+N90*'İşçilik Parametreleri'!$B$22)*'İşçilik Parametreleri'!$B$23</f>
        <v>27.5</v>
      </c>
      <c r="Y90" s="70">
        <f>(IF('İşçilik Parametreleri'!$B$27="Resme göre",(Q90*INDEX('İşçilik Parametreleri'!$F$16:$I$20,1,MATCH('İşçilik Parametreleri'!$B$26,{"Manuel","Robot","HTD","Lazer"},0))+R90*INDEX('İşçilik Parametreleri'!$F$16:$I$20,2,MATCH('İşçilik Parametreleri'!$B$26,{"Manuel","Robot","HTD","Lazer"},0))+S90*INDEX('İşçilik Parametreleri'!$F$16:$I$20,3,MATCH('İşçilik Parametreleri'!$B$26,{"Manuel","Robot","HTD","Lazer"},0))+T90*INDEX('İşçilik Parametreleri'!$F$16:$I$20,4,MATCH('İşçilik Parametreleri'!$B$26,{"Manuel","Robot","HTD","Lazer"},0))+U90*INDEX('İşçilik Parametreleri'!$F$16:$I$20,5,MATCH('İşçilik Parametreleri'!$B$26,{"Manuel","Robot","HTD","Lazer"},0))),SUM(Q90:U90)*INDEX('İşçilik Parametreleri'!$F$16:$I$20,MATCH(VALUE('İşçilik Parametreleri'!$B$27),'İşçilik Parametreleri'!$E$16:$E$20,0),MATCH('İşçilik Parametreleri'!$B$26,{"Manuel","Robot","HTD","Lazer"},0)))*'İşçilik Parametreleri'!$B$28/1000+O90*IF(OR('İşçilik Parametreleri'!$B$26="Robot",'İşçilik Parametreleri'!$B$26="HTD"),'İşçilik Parametreleri'!$B$30,'İşçilik Parametreleri'!$B$29))*'İşçilik Parametreleri'!$B$31</f>
        <v>25.023</v>
      </c>
      <c r="Z90" s="74">
        <f t="shared" si="9"/>
        <v>42.57105</v>
      </c>
      <c r="AA90" s="75" t="s">
        <v>124</v>
      </c>
      <c r="AB90" s="76"/>
      <c r="AC90" s="77">
        <f>IF(AA90="Kataforez",N(AB90),IF(AA90="Yaş boya",'İşçilik Parametreleri'!$B$6/MAX(1,ROUND(IF(ISNUMBER(AB90),AB90,'İşçilik Parametreleri'!$B$7),0)),0))</f>
        <v>0</v>
      </c>
      <c r="AD90" s="78">
        <f>W90/100*'İşçilik Parametreleri'!$B$9+X90/100*'İşçilik Parametreleri'!$B$17+Y90/100*'İşçilik Parametreleri'!$B$25</f>
        <v>14.19035</v>
      </c>
      <c r="AE90" s="78">
        <f t="shared" si="10"/>
        <v>14.19035</v>
      </c>
      <c r="AF90" s="75">
        <v>16</v>
      </c>
      <c r="AG90" s="84">
        <f>AD90*AF90+IF(AA90="Kataforez",N(AB90)*AF90,IF(AA90="Yaş boya",ROUNDUP(AF90/MAX(1,ROUND(IF(ISNUMBER(AB90),AB90,'İşçilik Parametreleri'!$B$7),0)),0)*'İşçilik Parametreleri'!$B$6,0))</f>
        <v>227.04560000000001</v>
      </c>
      <c r="AH90" s="70">
        <f t="shared" si="11"/>
        <v>11.35228</v>
      </c>
    </row>
    <row r="91" spans="1:34" ht="15" customHeight="1" x14ac:dyDescent="0.25">
      <c r="A91" s="82" t="s">
        <v>528</v>
      </c>
      <c r="B91" s="80" t="s">
        <v>23</v>
      </c>
      <c r="C91" s="81" t="s">
        <v>223</v>
      </c>
      <c r="D91" s="68" t="s">
        <v>107</v>
      </c>
      <c r="E91" s="68" t="s">
        <v>447</v>
      </c>
      <c r="F91" s="68">
        <v>1</v>
      </c>
      <c r="G91" s="68">
        <v>2</v>
      </c>
      <c r="H91" s="68">
        <v>2</v>
      </c>
      <c r="I91" s="68">
        <v>2</v>
      </c>
      <c r="J91" s="68">
        <v>2</v>
      </c>
      <c r="K91" s="70">
        <v>2.9470000000000001</v>
      </c>
      <c r="L91" s="70">
        <v>2.9470000000000001</v>
      </c>
      <c r="M91" s="71">
        <f t="shared" si="8"/>
        <v>0</v>
      </c>
      <c r="N91" s="68">
        <v>2</v>
      </c>
      <c r="O91" s="68">
        <v>2</v>
      </c>
      <c r="P91" s="68">
        <v>0</v>
      </c>
      <c r="Q91" s="72">
        <v>0</v>
      </c>
      <c r="R91" s="72">
        <v>0</v>
      </c>
      <c r="S91" s="72">
        <v>0</v>
      </c>
      <c r="T91" s="72">
        <v>0</v>
      </c>
      <c r="U91" s="72">
        <v>200</v>
      </c>
      <c r="V91" s="73">
        <f>SUM(Q91:U91)*'İşçilik Parametreleri'!$B$28/1000</f>
        <v>0.2</v>
      </c>
      <c r="W91" s="70">
        <f>SUMIF('Büküm Parçaları'!$A$2:$A$213,A91,'Büküm Parçaları'!$I$2:$I$213)</f>
        <v>6.5549999999999997</v>
      </c>
      <c r="X91" s="70">
        <f>(I91*'İşçilik Parametreleri'!$B$18+IF(L91&gt;'İşçilik Parametreleri'!$B$21,'İşçilik Parametreleri'!$B$20,'İşçilik Parametreleri'!$B$19)+N91*'İşçilik Parametreleri'!$B$22)*'İşçilik Parametreleri'!$B$23</f>
        <v>9.1624999999999996</v>
      </c>
      <c r="Y91" s="70">
        <f>(IF('İşçilik Parametreleri'!$B$27="Resme göre",(Q91*INDEX('İşçilik Parametreleri'!$F$16:$I$20,1,MATCH('İşçilik Parametreleri'!$B$26,{"Manuel","Robot","HTD","Lazer"},0))+R91*INDEX('İşçilik Parametreleri'!$F$16:$I$20,2,MATCH('İşçilik Parametreleri'!$B$26,{"Manuel","Robot","HTD","Lazer"},0))+S91*INDEX('İşçilik Parametreleri'!$F$16:$I$20,3,MATCH('İşçilik Parametreleri'!$B$26,{"Manuel","Robot","HTD","Lazer"},0))+T91*INDEX('İşçilik Parametreleri'!$F$16:$I$20,4,MATCH('İşçilik Parametreleri'!$B$26,{"Manuel","Robot","HTD","Lazer"},0))+U91*INDEX('İşçilik Parametreleri'!$F$16:$I$20,5,MATCH('İşçilik Parametreleri'!$B$26,{"Manuel","Robot","HTD","Lazer"},0))),SUM(Q91:U91)*INDEX('İşçilik Parametreleri'!$F$16:$I$20,MATCH(VALUE('İşçilik Parametreleri'!$B$27),'İşçilik Parametreleri'!$E$16:$E$20,0),MATCH('İşçilik Parametreleri'!$B$26,{"Manuel","Robot","HTD","Lazer"},0)))*'İşçilik Parametreleri'!$B$28/1000+O91*IF(OR('İşçilik Parametreleri'!$B$26="Robot",'İşçilik Parametreleri'!$B$26="HTD"),'İşçilik Parametreleri'!$B$30,'İşçilik Parametreleri'!$B$29))*'İşçilik Parametreleri'!$B$31</f>
        <v>8.1999999999999993</v>
      </c>
      <c r="Z91" s="74">
        <f t="shared" si="9"/>
        <v>14.350499999999998</v>
      </c>
      <c r="AA91" s="75" t="s">
        <v>86</v>
      </c>
      <c r="AB91" s="76">
        <v>10000</v>
      </c>
      <c r="AC91" s="77">
        <f>IF(AA91="Kataforez",N(AB91),IF(AA91="Yaş boya",'İşçilik Parametreleri'!$B$6/MAX(1,ROUND(IF(ISNUMBER(AB91),AB91,'İşçilik Parametreleri'!$B$7),0)),0))</f>
        <v>8.0000000000000002E-3</v>
      </c>
      <c r="AD91" s="78">
        <f>W91/100*'İşçilik Parametreleri'!$B$9+X91/100*'İşçilik Parametreleri'!$B$17+Y91/100*'İşçilik Parametreleri'!$B$25</f>
        <v>4.7835000000000001</v>
      </c>
      <c r="AE91" s="78">
        <f t="shared" si="10"/>
        <v>4.7915000000000001</v>
      </c>
      <c r="AF91" s="75">
        <v>16</v>
      </c>
      <c r="AG91" s="84">
        <f>AD91*AF91+IF(AA91="Kataforez",N(AB91)*AF91,IF(AA91="Yaş boya",ROUNDUP(AF91/MAX(1,ROUND(IF(ISNUMBER(AB91),AB91,'İşçilik Parametreleri'!$B$7),0)),0)*'İşçilik Parametreleri'!$B$6,0))</f>
        <v>156.536</v>
      </c>
      <c r="AH91" s="70">
        <f t="shared" si="11"/>
        <v>3.8267999999999995</v>
      </c>
    </row>
    <row r="92" spans="1:34" ht="15" customHeight="1" x14ac:dyDescent="0.25">
      <c r="A92" s="82" t="s">
        <v>529</v>
      </c>
      <c r="B92" s="68" t="s">
        <v>439</v>
      </c>
      <c r="C92" s="69" t="s">
        <v>224</v>
      </c>
      <c r="D92" s="68" t="s">
        <v>194</v>
      </c>
      <c r="E92" s="68" t="s">
        <v>442</v>
      </c>
      <c r="F92" s="68">
        <v>1</v>
      </c>
      <c r="G92" s="68">
        <v>3</v>
      </c>
      <c r="H92" s="68">
        <v>4</v>
      </c>
      <c r="I92" s="68">
        <v>4</v>
      </c>
      <c r="J92" s="68">
        <v>1</v>
      </c>
      <c r="K92" s="70">
        <v>9.6359999999999992</v>
      </c>
      <c r="L92" s="70">
        <v>9.4879999999999995</v>
      </c>
      <c r="M92" s="71">
        <f t="shared" si="8"/>
        <v>-1.535907015359067E-2</v>
      </c>
      <c r="N92" s="68">
        <v>5</v>
      </c>
      <c r="O92" s="68">
        <v>5</v>
      </c>
      <c r="P92" s="68">
        <v>0</v>
      </c>
      <c r="Q92" s="72">
        <v>0</v>
      </c>
      <c r="R92" s="72">
        <v>599</v>
      </c>
      <c r="S92" s="72">
        <v>0</v>
      </c>
      <c r="T92" s="72">
        <v>0</v>
      </c>
      <c r="U92" s="72">
        <v>0</v>
      </c>
      <c r="V92" s="73">
        <f>SUM(Q92:U92)*'İşçilik Parametreleri'!$B$28/1000</f>
        <v>0.59899999999999998</v>
      </c>
      <c r="W92" s="70">
        <f>SUMIF('Büküm Parçaları'!$A$2:$A$213,A92,'Büküm Parçaları'!$I$2:$I$213)</f>
        <v>10.723750000000001</v>
      </c>
      <c r="X92" s="70">
        <f>(I92*'İşçilik Parametreleri'!$B$18+IF(L92&gt;'İşçilik Parametreleri'!$B$21,'İşçilik Parametreleri'!$B$20,'İşçilik Parametreleri'!$B$19)+N92*'İşçilik Parametreleri'!$B$22)*'İşçilik Parametreleri'!$B$23</f>
        <v>15.4125</v>
      </c>
      <c r="Y92" s="70">
        <f>(IF('İşçilik Parametreleri'!$B$27="Resme göre",(Q92*INDEX('İşçilik Parametreleri'!$F$16:$I$20,1,MATCH('İşçilik Parametreleri'!$B$26,{"Manuel","Robot","HTD","Lazer"},0))+R92*INDEX('İşçilik Parametreleri'!$F$16:$I$20,2,MATCH('İşçilik Parametreleri'!$B$26,{"Manuel","Robot","HTD","Lazer"},0))+S92*INDEX('İşçilik Parametreleri'!$F$16:$I$20,3,MATCH('İşçilik Parametreleri'!$B$26,{"Manuel","Robot","HTD","Lazer"},0))+T92*INDEX('İşçilik Parametreleri'!$F$16:$I$20,4,MATCH('İşçilik Parametreleri'!$B$26,{"Manuel","Robot","HTD","Lazer"},0))+U92*INDEX('İşçilik Parametreleri'!$F$16:$I$20,5,MATCH('İşçilik Parametreleri'!$B$26,{"Manuel","Robot","HTD","Lazer"},0))),SUM(Q92:U92)*INDEX('İşçilik Parametreleri'!$F$16:$I$20,MATCH(VALUE('İşçilik Parametreleri'!$B$27),'İşçilik Parametreleri'!$E$16:$E$20,0),MATCH('İşçilik Parametreleri'!$B$26,{"Manuel","Robot","HTD","Lazer"},0)))*'İşçilik Parametreleri'!$B$28/1000+O92*IF(OR('İşçilik Parametreleri'!$B$26="Robot",'İşçilik Parametreleri'!$B$26="HTD"),'İşçilik Parametreleri'!$B$30,'İşçilik Parametreleri'!$B$29))*'İşçilik Parametreleri'!$B$31</f>
        <v>11.589</v>
      </c>
      <c r="Z92" s="74">
        <f t="shared" si="9"/>
        <v>22.635149999999999</v>
      </c>
      <c r="AA92" s="75" t="s">
        <v>86</v>
      </c>
      <c r="AB92" s="76">
        <v>10000</v>
      </c>
      <c r="AC92" s="77">
        <f>IF(AA92="Kataforez",N(AB92),IF(AA92="Yaş boya",'İşçilik Parametreleri'!$B$6/MAX(1,ROUND(IF(ISNUMBER(AB92),AB92,'İşçilik Parametreleri'!$B$7),0)),0))</f>
        <v>8.0000000000000002E-3</v>
      </c>
      <c r="AD92" s="78">
        <f>W92/100*'İşçilik Parametreleri'!$B$9+X92/100*'İşçilik Parametreleri'!$B$17+Y92/100*'İşçilik Parametreleri'!$B$25</f>
        <v>7.5450499999999998</v>
      </c>
      <c r="AE92" s="78">
        <f t="shared" si="10"/>
        <v>7.5530499999999998</v>
      </c>
      <c r="AF92" s="75">
        <v>10</v>
      </c>
      <c r="AG92" s="84">
        <f>AD92*AF92+IF(AA92="Kataforez",N(AB92)*AF92,IF(AA92="Yaş boya",ROUNDUP(AF92/MAX(1,ROUND(IF(ISNUMBER(AB92),AB92,'İşçilik Parametreleri'!$B$7),0)),0)*'İşçilik Parametreleri'!$B$6,0))</f>
        <v>155.45050000000001</v>
      </c>
      <c r="AH92" s="70">
        <f t="shared" si="11"/>
        <v>3.7725250000000004</v>
      </c>
    </row>
    <row r="93" spans="1:34" ht="15" customHeight="1" x14ac:dyDescent="0.25">
      <c r="A93" s="82" t="s">
        <v>530</v>
      </c>
      <c r="B93" s="80" t="s">
        <v>23</v>
      </c>
      <c r="C93" s="81" t="s">
        <v>225</v>
      </c>
      <c r="D93" s="68" t="s">
        <v>194</v>
      </c>
      <c r="E93" s="68" t="s">
        <v>447</v>
      </c>
      <c r="F93" s="68">
        <v>1</v>
      </c>
      <c r="G93" s="68">
        <v>2</v>
      </c>
      <c r="H93" s="68">
        <v>2</v>
      </c>
      <c r="I93" s="68">
        <v>2</v>
      </c>
      <c r="J93" s="68">
        <v>2</v>
      </c>
      <c r="K93" s="70">
        <v>6.7450000000000001</v>
      </c>
      <c r="L93" s="70">
        <v>6.6059999999999999</v>
      </c>
      <c r="M93" s="71">
        <f t="shared" si="8"/>
        <v>-2.0607857672349923E-2</v>
      </c>
      <c r="N93" s="68">
        <v>1</v>
      </c>
      <c r="O93" s="68">
        <v>1</v>
      </c>
      <c r="P93" s="68">
        <v>0</v>
      </c>
      <c r="Q93" s="72">
        <v>0</v>
      </c>
      <c r="R93" s="72">
        <v>0</v>
      </c>
      <c r="S93" s="72">
        <v>400</v>
      </c>
      <c r="T93" s="72">
        <v>0</v>
      </c>
      <c r="U93" s="72">
        <v>0</v>
      </c>
      <c r="V93" s="73">
        <f>SUM(Q93:U93)*'İşçilik Parametreleri'!$B$28/1000</f>
        <v>0.4</v>
      </c>
      <c r="W93" s="70">
        <f>SUMIF('Büküm Parçaları'!$A$2:$A$213,A93,'Büküm Parçaları'!$I$2:$I$213)</f>
        <v>11.873750000000001</v>
      </c>
      <c r="X93" s="70">
        <f>(I93*'İşçilik Parametreleri'!$B$18+IF(L93&gt;'İşçilik Parametreleri'!$B$21,'İşçilik Parametreleri'!$B$20,'İşçilik Parametreleri'!$B$19)+N93*'İşçilik Parametreleri'!$B$22)*'İşçilik Parametreleri'!$B$23</f>
        <v>7.9124999999999996</v>
      </c>
      <c r="Y93" s="70">
        <f>(IF('İşçilik Parametreleri'!$B$27="Resme göre",(Q93*INDEX('İşçilik Parametreleri'!$F$16:$I$20,1,MATCH('İşçilik Parametreleri'!$B$26,{"Manuel","Robot","HTD","Lazer"},0))+R93*INDEX('İşçilik Parametreleri'!$F$16:$I$20,2,MATCH('İşçilik Parametreleri'!$B$26,{"Manuel","Robot","HTD","Lazer"},0))+S93*INDEX('İşçilik Parametreleri'!$F$16:$I$20,3,MATCH('İşçilik Parametreleri'!$B$26,{"Manuel","Robot","HTD","Lazer"},0))+T93*INDEX('İşçilik Parametreleri'!$F$16:$I$20,4,MATCH('İşçilik Parametreleri'!$B$26,{"Manuel","Robot","HTD","Lazer"},0))+U93*INDEX('İşçilik Parametreleri'!$F$16:$I$20,5,MATCH('İşçilik Parametreleri'!$B$26,{"Manuel","Robot","HTD","Lazer"},0))),SUM(Q93:U93)*INDEX('İşçilik Parametreleri'!$F$16:$I$20,MATCH(VALUE('İşçilik Parametreleri'!$B$27),'İşçilik Parametreleri'!$E$16:$E$20,0),MATCH('İşçilik Parametreleri'!$B$26,{"Manuel","Robot","HTD","Lazer"},0)))*'İşçilik Parametreleri'!$B$28/1000+O93*IF(OR('İşçilik Parametreleri'!$B$26="Robot",'İşçilik Parametreleri'!$B$26="HTD"),'İşçilik Parametreleri'!$B$30,'İşçilik Parametreleri'!$B$29))*'İşçilik Parametreleri'!$B$31</f>
        <v>8.1999999999999993</v>
      </c>
      <c r="Z93" s="74">
        <f t="shared" si="9"/>
        <v>16.79175</v>
      </c>
      <c r="AA93" s="75" t="s">
        <v>86</v>
      </c>
      <c r="AB93" s="76">
        <v>10000</v>
      </c>
      <c r="AC93" s="77">
        <f>IF(AA93="Kataforez",N(AB93),IF(AA93="Yaş boya",'İşçilik Parametreleri'!$B$6/MAX(1,ROUND(IF(ISNUMBER(AB93),AB93,'İşçilik Parametreleri'!$B$7),0)),0))</f>
        <v>8.0000000000000002E-3</v>
      </c>
      <c r="AD93" s="78">
        <f>W93/100*'İşçilik Parametreleri'!$B$9+X93/100*'İşçilik Parametreleri'!$B$17+Y93/100*'İşçilik Parametreleri'!$B$25</f>
        <v>5.5972499999999998</v>
      </c>
      <c r="AE93" s="78">
        <f t="shared" si="10"/>
        <v>5.6052499999999998</v>
      </c>
      <c r="AF93" s="75">
        <v>13</v>
      </c>
      <c r="AG93" s="84">
        <f>AD93*AF93+IF(AA93="Kataforez",N(AB93)*AF93,IF(AA93="Yaş boya",ROUNDUP(AF93/MAX(1,ROUND(IF(ISNUMBER(AB93),AB93,'İşçilik Parametreleri'!$B$7),0)),0)*'İşçilik Parametreleri'!$B$6,0))</f>
        <v>152.76425</v>
      </c>
      <c r="AH93" s="70">
        <f t="shared" si="11"/>
        <v>3.6382125000000003</v>
      </c>
    </row>
    <row r="94" spans="1:34" ht="15" customHeight="1" x14ac:dyDescent="0.25">
      <c r="A94" s="82" t="s">
        <v>531</v>
      </c>
      <c r="B94" s="68" t="s">
        <v>439</v>
      </c>
      <c r="C94" s="69" t="s">
        <v>226</v>
      </c>
      <c r="D94" s="68" t="s">
        <v>130</v>
      </c>
      <c r="E94" s="68" t="s">
        <v>130</v>
      </c>
      <c r="F94" s="68">
        <v>0</v>
      </c>
      <c r="G94" s="68">
        <v>2</v>
      </c>
      <c r="H94" s="68">
        <v>12</v>
      </c>
      <c r="I94" s="68">
        <v>12</v>
      </c>
      <c r="J94" s="68">
        <v>0</v>
      </c>
      <c r="K94" s="70"/>
      <c r="L94" s="70">
        <v>8.4819999999999993</v>
      </c>
      <c r="M94" s="71" t="str">
        <f t="shared" si="8"/>
        <v/>
      </c>
      <c r="N94" s="68">
        <v>20</v>
      </c>
      <c r="O94" s="68">
        <v>20</v>
      </c>
      <c r="P94" s="68">
        <v>0</v>
      </c>
      <c r="Q94" s="72">
        <v>723</v>
      </c>
      <c r="R94" s="72">
        <v>0</v>
      </c>
      <c r="S94" s="72">
        <v>0</v>
      </c>
      <c r="T94" s="72">
        <v>0</v>
      </c>
      <c r="U94" s="72">
        <v>0</v>
      </c>
      <c r="V94" s="73">
        <f>SUM(Q94:U94)*'İşçilik Parametreleri'!$B$28/1000</f>
        <v>0.72299999999999998</v>
      </c>
      <c r="W94" s="70">
        <f>SUMIF('Büküm Parçaları'!$A$2:$A$213,A94,'Büküm Parçaları'!$I$2:$I$213)</f>
        <v>0</v>
      </c>
      <c r="X94" s="70">
        <f>(I94*'İşçilik Parametreleri'!$B$18+IF(L94&gt;'İşçilik Parametreleri'!$B$21,'İşçilik Parametreleri'!$B$20,'İşçilik Parametreleri'!$B$19)+N94*'İşçilik Parametreleri'!$B$22)*'İşçilik Parametreleri'!$B$23</f>
        <v>44.162499999999994</v>
      </c>
      <c r="Y94" s="70">
        <f>(IF('İşçilik Parametreleri'!$B$27="Resme göre",(Q94*INDEX('İşçilik Parametreleri'!$F$16:$I$20,1,MATCH('İşçilik Parametreleri'!$B$26,{"Manuel","Robot","HTD","Lazer"},0))+R94*INDEX('İşçilik Parametreleri'!$F$16:$I$20,2,MATCH('İşçilik Parametreleri'!$B$26,{"Manuel","Robot","HTD","Lazer"},0))+S94*INDEX('İşçilik Parametreleri'!$F$16:$I$20,3,MATCH('İşçilik Parametreleri'!$B$26,{"Manuel","Robot","HTD","Lazer"},0))+T94*INDEX('İşçilik Parametreleri'!$F$16:$I$20,4,MATCH('İşçilik Parametreleri'!$B$26,{"Manuel","Robot","HTD","Lazer"},0))+U94*INDEX('İşçilik Parametreleri'!$F$16:$I$20,5,MATCH('İşçilik Parametreleri'!$B$26,{"Manuel","Robot","HTD","Lazer"},0))),SUM(Q94:U94)*INDEX('İşçilik Parametreleri'!$F$16:$I$20,MATCH(VALUE('İşçilik Parametreleri'!$B$27),'İşçilik Parametreleri'!$E$16:$E$20,0),MATCH('İşçilik Parametreleri'!$B$26,{"Manuel","Robot","HTD","Lazer"},0)))*'İşçilik Parametreleri'!$B$28/1000+O94*IF(OR('İşçilik Parametreleri'!$B$26="Robot",'İşçilik Parametreleri'!$B$26="HTD"),'İşçilik Parametreleri'!$B$30,'İşçilik Parametreleri'!$B$29))*'İşçilik Parametreleri'!$B$31</f>
        <v>25.061</v>
      </c>
      <c r="Z94" s="74">
        <f t="shared" si="9"/>
        <v>41.534100000000002</v>
      </c>
      <c r="AA94" s="75" t="s">
        <v>124</v>
      </c>
      <c r="AB94" s="76"/>
      <c r="AC94" s="77">
        <f>IF(AA94="Kataforez",N(AB94),IF(AA94="Yaş boya",'İşçilik Parametreleri'!$B$6/MAX(1,ROUND(IF(ISNUMBER(AB94),AB94,'İşçilik Parametreleri'!$B$7),0)),0))</f>
        <v>0</v>
      </c>
      <c r="AD94" s="78">
        <f>W94/100*'İşçilik Parametreleri'!$B$9+X94/100*'İşçilik Parametreleri'!$B$17+Y94/100*'İşçilik Parametreleri'!$B$25</f>
        <v>13.8447</v>
      </c>
      <c r="AE94" s="78">
        <f t="shared" si="10"/>
        <v>13.8447</v>
      </c>
      <c r="AF94" s="75">
        <v>16</v>
      </c>
      <c r="AG94" s="84">
        <f>AD94*AF94+IF(AA94="Kataforez",N(AB94)*AF94,IF(AA94="Yaş boya",ROUNDUP(AF94/MAX(1,ROUND(IF(ISNUMBER(AB94),AB94,'İşçilik Parametreleri'!$B$7),0)),0)*'İşçilik Parametreleri'!$B$6,0))</f>
        <v>221.51519999999999</v>
      </c>
      <c r="AH94" s="70">
        <f t="shared" si="11"/>
        <v>11.075760000000001</v>
      </c>
    </row>
    <row r="95" spans="1:34" ht="15" customHeight="1" x14ac:dyDescent="0.25">
      <c r="A95" s="82" t="s">
        <v>532</v>
      </c>
      <c r="B95" s="80" t="s">
        <v>23</v>
      </c>
      <c r="C95" s="81" t="s">
        <v>228</v>
      </c>
      <c r="D95" s="68" t="s">
        <v>119</v>
      </c>
      <c r="E95" s="68" t="s">
        <v>442</v>
      </c>
      <c r="F95" s="68">
        <v>1</v>
      </c>
      <c r="G95" s="68">
        <v>2</v>
      </c>
      <c r="H95" s="68">
        <v>2</v>
      </c>
      <c r="I95" s="68">
        <v>2</v>
      </c>
      <c r="J95" s="68">
        <v>2</v>
      </c>
      <c r="K95" s="70">
        <v>1.607</v>
      </c>
      <c r="L95" s="70">
        <v>1.571</v>
      </c>
      <c r="M95" s="71">
        <f t="shared" si="8"/>
        <v>-2.2401991288114518E-2</v>
      </c>
      <c r="N95" s="68">
        <v>2</v>
      </c>
      <c r="O95" s="68">
        <v>2</v>
      </c>
      <c r="P95" s="68">
        <v>0</v>
      </c>
      <c r="Q95" s="72">
        <v>0</v>
      </c>
      <c r="R95" s="72">
        <v>200</v>
      </c>
      <c r="S95" s="72">
        <v>0</v>
      </c>
      <c r="T95" s="72">
        <v>0</v>
      </c>
      <c r="U95" s="72">
        <v>0</v>
      </c>
      <c r="V95" s="73">
        <f>SUM(Q95:U95)*'İşçilik Parametreleri'!$B$28/1000</f>
        <v>0.2</v>
      </c>
      <c r="W95" s="70">
        <f>SUMIF('Büküm Parçaları'!$A$2:$A$213,A95,'Büküm Parçaları'!$I$2:$I$213)</f>
        <v>6.5549999999999997</v>
      </c>
      <c r="X95" s="70">
        <f>(I95*'İşçilik Parametreleri'!$B$18+IF(L95&gt;'İşçilik Parametreleri'!$B$21,'İşçilik Parametreleri'!$B$20,'İşçilik Parametreleri'!$B$19)+N95*'İşçilik Parametreleri'!$B$22)*'İşçilik Parametreleri'!$B$23</f>
        <v>9.1624999999999996</v>
      </c>
      <c r="Y95" s="70">
        <f>(IF('İşçilik Parametreleri'!$B$27="Resme göre",(Q95*INDEX('İşçilik Parametreleri'!$F$16:$I$20,1,MATCH('İşçilik Parametreleri'!$B$26,{"Manuel","Robot","HTD","Lazer"},0))+R95*INDEX('İşçilik Parametreleri'!$F$16:$I$20,2,MATCH('İşçilik Parametreleri'!$B$26,{"Manuel","Robot","HTD","Lazer"},0))+S95*INDEX('İşçilik Parametreleri'!$F$16:$I$20,3,MATCH('İşçilik Parametreleri'!$B$26,{"Manuel","Robot","HTD","Lazer"},0))+T95*INDEX('İşçilik Parametreleri'!$F$16:$I$20,4,MATCH('İşçilik Parametreleri'!$B$26,{"Manuel","Robot","HTD","Lazer"},0))+U95*INDEX('İşçilik Parametreleri'!$F$16:$I$20,5,MATCH('İşçilik Parametreleri'!$B$26,{"Manuel","Robot","HTD","Lazer"},0))),SUM(Q95:U95)*INDEX('İşçilik Parametreleri'!$F$16:$I$20,MATCH(VALUE('İşçilik Parametreleri'!$B$27),'İşçilik Parametreleri'!$E$16:$E$20,0),MATCH('İşçilik Parametreleri'!$B$26,{"Manuel","Robot","HTD","Lazer"},0)))*'İşçilik Parametreleri'!$B$28/1000+O95*IF(OR('İşçilik Parametreleri'!$B$26="Robot",'İşçilik Parametreleri'!$B$26="HTD"),'İşçilik Parametreleri'!$B$30,'İşçilik Parametreleri'!$B$29))*'İşçilik Parametreleri'!$B$31</f>
        <v>4.2</v>
      </c>
      <c r="Z95" s="74">
        <f t="shared" si="9"/>
        <v>11.9505</v>
      </c>
      <c r="AA95" s="75" t="s">
        <v>86</v>
      </c>
      <c r="AB95" s="76">
        <v>10000</v>
      </c>
      <c r="AC95" s="77">
        <f>IF(AA95="Kataforez",N(AB95),IF(AA95="Yaş boya",'İşçilik Parametreleri'!$B$6/MAX(1,ROUND(IF(ISNUMBER(AB95),AB95,'İşçilik Parametreleri'!$B$7),0)),0))</f>
        <v>8.0000000000000002E-3</v>
      </c>
      <c r="AD95" s="78">
        <f>W95/100*'İşçilik Parametreleri'!$B$9+X95/100*'İşçilik Parametreleri'!$B$17+Y95/100*'İşçilik Parametreleri'!$B$25</f>
        <v>3.9835000000000003</v>
      </c>
      <c r="AE95" s="78">
        <f t="shared" si="10"/>
        <v>3.9915000000000003</v>
      </c>
      <c r="AF95" s="75">
        <v>16</v>
      </c>
      <c r="AG95" s="84">
        <f>AD95*AF95+IF(AA95="Kataforez",N(AB95)*AF95,IF(AA95="Yaş boya",ROUNDUP(AF95/MAX(1,ROUND(IF(ISNUMBER(AB95),AB95,'İşçilik Parametreleri'!$B$7),0)),0)*'İşçilik Parametreleri'!$B$6,0))</f>
        <v>143.73599999999999</v>
      </c>
      <c r="AH95" s="70">
        <f t="shared" si="11"/>
        <v>3.1867999999999999</v>
      </c>
    </row>
    <row r="96" spans="1:34" ht="15" customHeight="1" x14ac:dyDescent="0.25">
      <c r="A96" s="82" t="s">
        <v>533</v>
      </c>
      <c r="B96" s="80" t="s">
        <v>23</v>
      </c>
      <c r="C96" s="81" t="s">
        <v>229</v>
      </c>
      <c r="D96" s="68" t="s">
        <v>107</v>
      </c>
      <c r="E96" s="68" t="s">
        <v>447</v>
      </c>
      <c r="F96" s="68">
        <v>1</v>
      </c>
      <c r="G96" s="68">
        <v>2</v>
      </c>
      <c r="H96" s="68">
        <v>4</v>
      </c>
      <c r="I96" s="68">
        <v>4</v>
      </c>
      <c r="J96" s="68">
        <v>2</v>
      </c>
      <c r="K96" s="70">
        <v>2.048</v>
      </c>
      <c r="L96" s="70">
        <v>1.964</v>
      </c>
      <c r="M96" s="71">
        <f t="shared" si="8"/>
        <v>-4.1015625000000035E-2</v>
      </c>
      <c r="N96" s="68">
        <v>4</v>
      </c>
      <c r="O96" s="68">
        <v>4</v>
      </c>
      <c r="P96" s="68">
        <v>0</v>
      </c>
      <c r="Q96" s="72">
        <v>0</v>
      </c>
      <c r="R96" s="72">
        <v>248</v>
      </c>
      <c r="S96" s="72">
        <v>0</v>
      </c>
      <c r="T96" s="72">
        <v>0</v>
      </c>
      <c r="U96" s="72">
        <v>0</v>
      </c>
      <c r="V96" s="73">
        <f>SUM(Q96:U96)*'İşçilik Parametreleri'!$B$28/1000</f>
        <v>0.248</v>
      </c>
      <c r="W96" s="70">
        <f>SUMIF('Büküm Parçaları'!$A$2:$A$213,A96,'Büküm Parçaları'!$I$2:$I$213)</f>
        <v>10.809999999999999</v>
      </c>
      <c r="X96" s="70">
        <f>(I96*'İşçilik Parametreleri'!$B$18+IF(L96&gt;'İşçilik Parametreleri'!$B$21,'İşçilik Parametreleri'!$B$20,'İşçilik Parametreleri'!$B$19)+N96*'İşçilik Parametreleri'!$B$22)*'İşçilik Parametreleri'!$B$23</f>
        <v>14.1625</v>
      </c>
      <c r="Y96" s="70">
        <f>(IF('İşçilik Parametreleri'!$B$27="Resme göre",(Q96*INDEX('İşçilik Parametreleri'!$F$16:$I$20,1,MATCH('İşçilik Parametreleri'!$B$26,{"Manuel","Robot","HTD","Lazer"},0))+R96*INDEX('İşçilik Parametreleri'!$F$16:$I$20,2,MATCH('İşçilik Parametreleri'!$B$26,{"Manuel","Robot","HTD","Lazer"},0))+S96*INDEX('İşçilik Parametreleri'!$F$16:$I$20,3,MATCH('İşçilik Parametreleri'!$B$26,{"Manuel","Robot","HTD","Lazer"},0))+T96*INDEX('İşçilik Parametreleri'!$F$16:$I$20,4,MATCH('İşçilik Parametreleri'!$B$26,{"Manuel","Robot","HTD","Lazer"},0))+U96*INDEX('İşçilik Parametreleri'!$F$16:$I$20,5,MATCH('İşçilik Parametreleri'!$B$26,{"Manuel","Robot","HTD","Lazer"},0))),SUM(Q96:U96)*INDEX('İşçilik Parametreleri'!$F$16:$I$20,MATCH(VALUE('İşçilik Parametreleri'!$B$27),'İşçilik Parametreleri'!$E$16:$E$20,0),MATCH('İşçilik Parametreleri'!$B$26,{"Manuel","Robot","HTD","Lazer"},0)))*'İşçilik Parametreleri'!$B$28/1000+O96*IF(OR('İşçilik Parametreleri'!$B$26="Robot",'İşçilik Parametreleri'!$B$26="HTD"),'İşçilik Parametreleri'!$B$30,'İşçilik Parametreleri'!$B$29))*'İşçilik Parametreleri'!$B$31</f>
        <v>6.7279999999999998</v>
      </c>
      <c r="Z96" s="74">
        <f t="shared" si="9"/>
        <v>19.020299999999999</v>
      </c>
      <c r="AA96" s="75" t="s">
        <v>86</v>
      </c>
      <c r="AB96" s="76">
        <v>10000</v>
      </c>
      <c r="AC96" s="77">
        <f>IF(AA96="Kataforez",N(AB96),IF(AA96="Yaş boya",'İşçilik Parametreleri'!$B$6/MAX(1,ROUND(IF(ISNUMBER(AB96),AB96,'İşçilik Parametreleri'!$B$7),0)),0))</f>
        <v>8.0000000000000002E-3</v>
      </c>
      <c r="AD96" s="78">
        <f>W96/100*'İşçilik Parametreleri'!$B$9+X96/100*'İşçilik Parametreleri'!$B$17+Y96/100*'İşçilik Parametreleri'!$B$25</f>
        <v>6.3401000000000005</v>
      </c>
      <c r="AE96" s="78">
        <f t="shared" si="10"/>
        <v>6.3481000000000005</v>
      </c>
      <c r="AF96" s="75">
        <v>10</v>
      </c>
      <c r="AG96" s="84">
        <f>AD96*AF96+IF(AA96="Kataforez",N(AB96)*AF96,IF(AA96="Yaş boya",ROUNDUP(AF96/MAX(1,ROUND(IF(ISNUMBER(AB96),AB96,'İşçilik Parametreleri'!$B$7),0)),0)*'İşçilik Parametreleri'!$B$6,0))</f>
        <v>143.40100000000001</v>
      </c>
      <c r="AH96" s="70">
        <f t="shared" si="11"/>
        <v>3.1700499999999998</v>
      </c>
    </row>
    <row r="97" spans="1:34" ht="15" customHeight="1" x14ac:dyDescent="0.25">
      <c r="A97" s="82" t="s">
        <v>534</v>
      </c>
      <c r="B97" s="80" t="s">
        <v>23</v>
      </c>
      <c r="C97" s="81" t="s">
        <v>230</v>
      </c>
      <c r="D97" s="68" t="s">
        <v>194</v>
      </c>
      <c r="E97" s="68" t="s">
        <v>442</v>
      </c>
      <c r="F97" s="68">
        <v>1</v>
      </c>
      <c r="G97" s="68">
        <v>2</v>
      </c>
      <c r="H97" s="68">
        <v>3</v>
      </c>
      <c r="I97" s="68">
        <v>3</v>
      </c>
      <c r="J97" s="68">
        <v>2</v>
      </c>
      <c r="K97" s="70">
        <v>1.2529999999999999</v>
      </c>
      <c r="L97" s="70">
        <v>1.2529999999999999</v>
      </c>
      <c r="M97" s="71">
        <f t="shared" si="8"/>
        <v>0</v>
      </c>
      <c r="N97" s="68">
        <v>2</v>
      </c>
      <c r="O97" s="68">
        <v>2</v>
      </c>
      <c r="P97" s="68">
        <v>0</v>
      </c>
      <c r="Q97" s="72">
        <v>120</v>
      </c>
      <c r="R97" s="72">
        <v>0</v>
      </c>
      <c r="S97" s="72">
        <v>0</v>
      </c>
      <c r="T97" s="72">
        <v>0</v>
      </c>
      <c r="U97" s="72">
        <v>0</v>
      </c>
      <c r="V97" s="73">
        <f>SUM(Q97:U97)*'İşçilik Parametreleri'!$B$28/1000</f>
        <v>0.12</v>
      </c>
      <c r="W97" s="70">
        <f>SUMIF('Büküm Parçaları'!$A$2:$A$213,A97,'Büküm Parçaları'!$I$2:$I$213)</f>
        <v>6.5549999999999997</v>
      </c>
      <c r="X97" s="70">
        <f>(I97*'İşçilik Parametreleri'!$B$18+IF(L97&gt;'İşçilik Parametreleri'!$B$21,'İşçilik Parametreleri'!$B$20,'İşçilik Parametreleri'!$B$19)+N97*'İşçilik Parametreleri'!$B$22)*'İşçilik Parametreleri'!$B$23</f>
        <v>10.4125</v>
      </c>
      <c r="Y97" s="70">
        <f>(IF('İşçilik Parametreleri'!$B$27="Resme göre",(Q97*INDEX('İşçilik Parametreleri'!$F$16:$I$20,1,MATCH('İşçilik Parametreleri'!$B$26,{"Manuel","Robot","HTD","Lazer"},0))+R97*INDEX('İşçilik Parametreleri'!$F$16:$I$20,2,MATCH('İşçilik Parametreleri'!$B$26,{"Manuel","Robot","HTD","Lazer"},0))+S97*INDEX('İşçilik Parametreleri'!$F$16:$I$20,3,MATCH('İşçilik Parametreleri'!$B$26,{"Manuel","Robot","HTD","Lazer"},0))+T97*INDEX('İşçilik Parametreleri'!$F$16:$I$20,4,MATCH('İşçilik Parametreleri'!$B$26,{"Manuel","Robot","HTD","Lazer"},0))+U97*INDEX('İşçilik Parametreleri'!$F$16:$I$20,5,MATCH('İşçilik Parametreleri'!$B$26,{"Manuel","Robot","HTD","Lazer"},0))),SUM(Q97:U97)*INDEX('İşçilik Parametreleri'!$F$16:$I$20,MATCH(VALUE('İşçilik Parametreleri'!$B$27),'İşçilik Parametreleri'!$E$16:$E$20,0),MATCH('İşçilik Parametreleri'!$B$26,{"Manuel","Robot","HTD","Lazer"},0)))*'İşçilik Parametreleri'!$B$28/1000+O97*IF(OR('İşçilik Parametreleri'!$B$26="Robot",'İşçilik Parametreleri'!$B$26="HTD"),'İşçilik Parametreleri'!$B$30,'İşçilik Parametreleri'!$B$29))*'İşçilik Parametreleri'!$B$31</f>
        <v>2.84</v>
      </c>
      <c r="Z97" s="74">
        <f t="shared" si="9"/>
        <v>11.884500000000001</v>
      </c>
      <c r="AA97" s="75" t="s">
        <v>86</v>
      </c>
      <c r="AB97" s="76">
        <v>10000</v>
      </c>
      <c r="AC97" s="77">
        <f>IF(AA97="Kataforez",N(AB97),IF(AA97="Yaş boya",'İşçilik Parametreleri'!$B$6/MAX(1,ROUND(IF(ISNUMBER(AB97),AB97,'İşçilik Parametreleri'!$B$7),0)),0))</f>
        <v>8.0000000000000002E-3</v>
      </c>
      <c r="AD97" s="78">
        <f>W97/100*'İşçilik Parametreleri'!$B$9+X97/100*'İşçilik Parametreleri'!$B$17+Y97/100*'İşçilik Parametreleri'!$B$25</f>
        <v>3.9615</v>
      </c>
      <c r="AE97" s="78">
        <f t="shared" si="10"/>
        <v>3.9695</v>
      </c>
      <c r="AF97" s="75">
        <v>16</v>
      </c>
      <c r="AG97" s="84">
        <f>AD97*AF97+IF(AA97="Kataforez",N(AB97)*AF97,IF(AA97="Yaş boya",ROUNDUP(AF97/MAX(1,ROUND(IF(ISNUMBER(AB97),AB97,'İşçilik Parametreleri'!$B$7),0)),0)*'İşçilik Parametreleri'!$B$6,0))</f>
        <v>143.38400000000001</v>
      </c>
      <c r="AH97" s="70">
        <f t="shared" si="11"/>
        <v>3.1692</v>
      </c>
    </row>
    <row r="98" spans="1:34" ht="15" customHeight="1" x14ac:dyDescent="0.25">
      <c r="A98" s="82" t="s">
        <v>535</v>
      </c>
      <c r="B98" s="80" t="s">
        <v>23</v>
      </c>
      <c r="C98" s="81" t="s">
        <v>231</v>
      </c>
      <c r="D98" s="68" t="s">
        <v>156</v>
      </c>
      <c r="E98" s="68" t="s">
        <v>442</v>
      </c>
      <c r="F98" s="68">
        <v>1</v>
      </c>
      <c r="G98" s="68">
        <v>2</v>
      </c>
      <c r="H98" s="68">
        <v>5</v>
      </c>
      <c r="I98" s="68">
        <v>5</v>
      </c>
      <c r="J98" s="68">
        <v>0</v>
      </c>
      <c r="K98" s="70">
        <v>1.58</v>
      </c>
      <c r="L98" s="70">
        <v>1.5109999999999999</v>
      </c>
      <c r="M98" s="71">
        <f t="shared" si="8"/>
        <v>-4.3670886075949475E-2</v>
      </c>
      <c r="N98" s="68">
        <v>6</v>
      </c>
      <c r="O98" s="68">
        <v>6</v>
      </c>
      <c r="P98" s="68">
        <v>0</v>
      </c>
      <c r="Q98" s="72">
        <v>0</v>
      </c>
      <c r="R98" s="72">
        <v>0</v>
      </c>
      <c r="S98" s="72">
        <v>402</v>
      </c>
      <c r="T98" s="72">
        <v>0</v>
      </c>
      <c r="U98" s="72">
        <v>0</v>
      </c>
      <c r="V98" s="73">
        <f>SUM(Q98:U98)*'İşçilik Parametreleri'!$B$28/1000</f>
        <v>0.40200000000000002</v>
      </c>
      <c r="W98" s="70">
        <f>SUMIF('Büküm Parçaları'!$A$2:$A$213,A98,'Büküm Parçaları'!$I$2:$I$213)</f>
        <v>0</v>
      </c>
      <c r="X98" s="70">
        <f>(I98*'İşçilik Parametreleri'!$B$18+IF(L98&gt;'İşçilik Parametreleri'!$B$21,'İşçilik Parametreleri'!$B$20,'İşçilik Parametreleri'!$B$19)+N98*'İşçilik Parametreleri'!$B$22)*'İşçilik Parametreleri'!$B$23</f>
        <v>17.912500000000001</v>
      </c>
      <c r="Y98" s="70">
        <f>(IF('İşçilik Parametreleri'!$B$27="Resme göre",(Q98*INDEX('İşçilik Parametreleri'!$F$16:$I$20,1,MATCH('İşçilik Parametreleri'!$B$26,{"Manuel","Robot","HTD","Lazer"},0))+R98*INDEX('İşçilik Parametreleri'!$F$16:$I$20,2,MATCH('İşçilik Parametreleri'!$B$26,{"Manuel","Robot","HTD","Lazer"},0))+S98*INDEX('İşçilik Parametreleri'!$F$16:$I$20,3,MATCH('İşçilik Parametreleri'!$B$26,{"Manuel","Robot","HTD","Lazer"},0))+T98*INDEX('İşçilik Parametreleri'!$F$16:$I$20,4,MATCH('İşçilik Parametreleri'!$B$26,{"Manuel","Robot","HTD","Lazer"},0))+U98*INDEX('İşçilik Parametreleri'!$F$16:$I$20,5,MATCH('İşçilik Parametreleri'!$B$26,{"Manuel","Robot","HTD","Lazer"},0))),SUM(Q98:U98)*INDEX('İşçilik Parametreleri'!$F$16:$I$20,MATCH(VALUE('İşçilik Parametreleri'!$B$27),'İşçilik Parametreleri'!$E$16:$E$20,0),MATCH('İşçilik Parametreleri'!$B$26,{"Manuel","Robot","HTD","Lazer"},0)))*'İşçilik Parametreleri'!$B$28/1000+O98*IF(OR('İşçilik Parametreleri'!$B$26="Robot",'İşçilik Parametreleri'!$B$26="HTD"),'İşçilik Parametreleri'!$B$30,'İşçilik Parametreleri'!$B$29))*'İşçilik Parametreleri'!$B$31</f>
        <v>13.236000000000001</v>
      </c>
      <c r="Z98" s="74">
        <f t="shared" si="9"/>
        <v>18.6891</v>
      </c>
      <c r="AA98" s="75" t="s">
        <v>86</v>
      </c>
      <c r="AB98" s="76">
        <v>10000</v>
      </c>
      <c r="AC98" s="77">
        <f>IF(AA98="Kataforez",N(AB98),IF(AA98="Yaş boya",'İşçilik Parametreleri'!$B$6/MAX(1,ROUND(IF(ISNUMBER(AB98),AB98,'İşçilik Parametreleri'!$B$7),0)),0))</f>
        <v>8.0000000000000002E-3</v>
      </c>
      <c r="AD98" s="78">
        <f>W98/100*'İşçilik Parametreleri'!$B$9+X98/100*'İşçilik Parametreleri'!$B$17+Y98/100*'İşçilik Parametreleri'!$B$25</f>
        <v>6.2297000000000002</v>
      </c>
      <c r="AE98" s="78">
        <f t="shared" si="10"/>
        <v>6.2377000000000002</v>
      </c>
      <c r="AF98" s="75">
        <v>10</v>
      </c>
      <c r="AG98" s="84">
        <f>AD98*AF98+IF(AA98="Kataforez",N(AB98)*AF98,IF(AA98="Yaş boya",ROUNDUP(AF98/MAX(1,ROUND(IF(ISNUMBER(AB98),AB98,'İşçilik Parametreleri'!$B$7),0)),0)*'İşçilik Parametreleri'!$B$6,0))</f>
        <v>142.297</v>
      </c>
      <c r="AH98" s="70">
        <f t="shared" si="11"/>
        <v>3.1148500000000001</v>
      </c>
    </row>
    <row r="99" spans="1:34" ht="15" customHeight="1" x14ac:dyDescent="0.25">
      <c r="A99" s="67" t="s">
        <v>536</v>
      </c>
      <c r="B99" s="68" t="s">
        <v>439</v>
      </c>
      <c r="C99" s="69" t="s">
        <v>233</v>
      </c>
      <c r="D99" s="68" t="s">
        <v>107</v>
      </c>
      <c r="E99" s="68" t="s">
        <v>442</v>
      </c>
      <c r="F99" s="68">
        <v>1</v>
      </c>
      <c r="G99" s="68">
        <v>4</v>
      </c>
      <c r="H99" s="68">
        <v>2</v>
      </c>
      <c r="I99" s="68">
        <v>2</v>
      </c>
      <c r="J99" s="68">
        <v>0</v>
      </c>
      <c r="K99" s="70">
        <v>18.869</v>
      </c>
      <c r="L99" s="70">
        <v>18.923999999999999</v>
      </c>
      <c r="M99" s="71">
        <f t="shared" si="8"/>
        <v>2.91483385447028E-3</v>
      </c>
      <c r="N99" s="68">
        <v>1</v>
      </c>
      <c r="O99" s="68">
        <v>1</v>
      </c>
      <c r="P99" s="68">
        <v>0</v>
      </c>
      <c r="Q99" s="72">
        <v>0</v>
      </c>
      <c r="R99" s="72">
        <v>1351</v>
      </c>
      <c r="S99" s="72">
        <v>0</v>
      </c>
      <c r="T99" s="72">
        <v>0</v>
      </c>
      <c r="U99" s="72">
        <v>0</v>
      </c>
      <c r="V99" s="73">
        <f>SUM(Q99:U99)*'İşçilik Parametreleri'!$B$28/1000</f>
        <v>1.351</v>
      </c>
      <c r="W99" s="70">
        <f>SUMIF('Büküm Parçaları'!$A$2:$A$213,A99,'Büküm Parçaları'!$I$2:$I$213)</f>
        <v>0</v>
      </c>
      <c r="X99" s="70">
        <f>(I99*'İşçilik Parametreleri'!$B$18+IF(L99&gt;'İşçilik Parametreleri'!$B$21,'İşçilik Parametreleri'!$B$20,'İşçilik Parametreleri'!$B$19)+N99*'İşçilik Parametreleri'!$B$22)*'İşçilik Parametreleri'!$B$23</f>
        <v>7.9124999999999996</v>
      </c>
      <c r="Y99" s="70">
        <f>(IF('İşçilik Parametreleri'!$B$27="Resme göre",(Q99*INDEX('İşçilik Parametreleri'!$F$16:$I$20,1,MATCH('İşçilik Parametreleri'!$B$26,{"Manuel","Robot","HTD","Lazer"},0))+R99*INDEX('İşçilik Parametreleri'!$F$16:$I$20,2,MATCH('İşçilik Parametreleri'!$B$26,{"Manuel","Robot","HTD","Lazer"},0))+S99*INDEX('İşçilik Parametreleri'!$F$16:$I$20,3,MATCH('İşçilik Parametreleri'!$B$26,{"Manuel","Robot","HTD","Lazer"},0))+T99*INDEX('İşçilik Parametreleri'!$F$16:$I$20,4,MATCH('İşçilik Parametreleri'!$B$26,{"Manuel","Robot","HTD","Lazer"},0))+U99*INDEX('İşçilik Parametreleri'!$F$16:$I$20,5,MATCH('İşçilik Parametreleri'!$B$26,{"Manuel","Robot","HTD","Lazer"},0))),SUM(Q99:U99)*INDEX('İşçilik Parametreleri'!$F$16:$I$20,MATCH(VALUE('İşçilik Parametreleri'!$B$27),'İşçilik Parametreleri'!$E$16:$E$20,0),MATCH('İşçilik Parametreleri'!$B$26,{"Manuel","Robot","HTD","Lazer"},0)))*'İşçilik Parametreleri'!$B$28/1000+O99*IF(OR('İşçilik Parametreleri'!$B$26="Robot",'İşçilik Parametreleri'!$B$26="HTD"),'İşçilik Parametreleri'!$B$30,'İşçilik Parametreleri'!$B$29))*'İşçilik Parametreleri'!$B$31</f>
        <v>15.861000000000001</v>
      </c>
      <c r="Z99" s="74">
        <f t="shared" si="9"/>
        <v>14.264099999999999</v>
      </c>
      <c r="AA99" s="75" t="s">
        <v>86</v>
      </c>
      <c r="AB99" s="76">
        <v>10000</v>
      </c>
      <c r="AC99" s="77">
        <f>IF(AA99="Kataforez",N(AB99),IF(AA99="Yaş boya",'İşçilik Parametreleri'!$B$6/MAX(1,ROUND(IF(ISNUMBER(AB99),AB99,'İşçilik Parametreleri'!$B$7),0)),0))</f>
        <v>8.0000000000000002E-3</v>
      </c>
      <c r="AD99" s="78">
        <f>W99/100*'İşçilik Parametreleri'!$B$9+X99/100*'İşçilik Parametreleri'!$B$17+Y99/100*'İşçilik Parametreleri'!$B$25</f>
        <v>4.7546999999999997</v>
      </c>
      <c r="AE99" s="78">
        <f t="shared" si="10"/>
        <v>4.7626999999999997</v>
      </c>
      <c r="AF99" s="75">
        <v>13</v>
      </c>
      <c r="AG99" s="84">
        <f>AD99*AF99+IF(AA99="Kataforez",N(AB99)*AF99,IF(AA99="Yaş boya",ROUNDUP(AF99/MAX(1,ROUND(IF(ISNUMBER(AB99),AB99,'İşçilik Parametreleri'!$B$7),0)),0)*'İşçilik Parametreleri'!$B$6,0))</f>
        <v>141.81110000000001</v>
      </c>
      <c r="AH99" s="70">
        <f t="shared" si="11"/>
        <v>3.0905550000000002</v>
      </c>
    </row>
    <row r="100" spans="1:34" ht="15" customHeight="1" x14ac:dyDescent="0.25">
      <c r="A100" s="67" t="s">
        <v>537</v>
      </c>
      <c r="B100" s="68" t="s">
        <v>439</v>
      </c>
      <c r="C100" s="69" t="s">
        <v>234</v>
      </c>
      <c r="D100" s="68" t="s">
        <v>194</v>
      </c>
      <c r="E100" s="68" t="s">
        <v>447</v>
      </c>
      <c r="F100" s="68">
        <v>1</v>
      </c>
      <c r="G100" s="68">
        <v>2</v>
      </c>
      <c r="H100" s="68">
        <v>3</v>
      </c>
      <c r="I100" s="68">
        <v>3</v>
      </c>
      <c r="J100" s="68">
        <v>0</v>
      </c>
      <c r="K100" s="70">
        <v>21.507999999999999</v>
      </c>
      <c r="L100" s="70">
        <v>21.646000000000001</v>
      </c>
      <c r="M100" s="71">
        <f t="shared" si="8"/>
        <v>6.4162172214990553E-3</v>
      </c>
      <c r="N100" s="68">
        <v>2</v>
      </c>
      <c r="O100" s="68">
        <v>2</v>
      </c>
      <c r="P100" s="68">
        <v>0</v>
      </c>
      <c r="Q100" s="72">
        <v>0</v>
      </c>
      <c r="R100" s="72">
        <v>0</v>
      </c>
      <c r="S100" s="72">
        <v>0</v>
      </c>
      <c r="T100" s="72">
        <v>0</v>
      </c>
      <c r="U100" s="72">
        <v>574</v>
      </c>
      <c r="V100" s="73">
        <f>SUM(Q100:U100)*'İşçilik Parametreleri'!$B$28/1000</f>
        <v>0.57399999999999995</v>
      </c>
      <c r="W100" s="70">
        <f>SUMIF('Büküm Parçaları'!$A$2:$A$213,A100,'Büküm Parçaları'!$I$2:$I$213)</f>
        <v>0</v>
      </c>
      <c r="X100" s="70">
        <f>(I100*'İşçilik Parametreleri'!$B$18+IF(L100&gt;'İşçilik Parametreleri'!$B$21,'İşçilik Parametreleri'!$B$20,'İşçilik Parametreleri'!$B$19)+N100*'İşçilik Parametreleri'!$B$22)*'İşçilik Parametreleri'!$B$23</f>
        <v>10.4125</v>
      </c>
      <c r="Y100" s="70">
        <f>(IF('İşçilik Parametreleri'!$B$27="Resme göre",(Q100*INDEX('İşçilik Parametreleri'!$F$16:$I$20,1,MATCH('İşçilik Parametreleri'!$B$26,{"Manuel","Robot","HTD","Lazer"},0))+R100*INDEX('İşçilik Parametreleri'!$F$16:$I$20,2,MATCH('İşçilik Parametreleri'!$B$26,{"Manuel","Robot","HTD","Lazer"},0))+S100*INDEX('İşçilik Parametreleri'!$F$16:$I$20,3,MATCH('İşçilik Parametreleri'!$B$26,{"Manuel","Robot","HTD","Lazer"},0))+T100*INDEX('İşçilik Parametreleri'!$F$16:$I$20,4,MATCH('İşçilik Parametreleri'!$B$26,{"Manuel","Robot","HTD","Lazer"},0))+U100*INDEX('İşçilik Parametreleri'!$F$16:$I$20,5,MATCH('İşçilik Parametreleri'!$B$26,{"Manuel","Robot","HTD","Lazer"},0))),SUM(Q100:U100)*INDEX('İşçilik Parametreleri'!$F$16:$I$20,MATCH(VALUE('İşçilik Parametreleri'!$B$27),'İşçilik Parametreleri'!$E$16:$E$20,0),MATCH('İşçilik Parametreleri'!$B$26,{"Manuel","Robot","HTD","Lazer"},0)))*'İşçilik Parametreleri'!$B$28/1000+O100*IF(OR('İşçilik Parametreleri'!$B$26="Robot",'İşçilik Parametreleri'!$B$26="HTD"),'İşçilik Parametreleri'!$B$30,'İşçilik Parametreleri'!$B$29))*'İşçilik Parametreleri'!$B$31</f>
        <v>19.794</v>
      </c>
      <c r="Z100" s="74">
        <f t="shared" si="9"/>
        <v>18.123899999999999</v>
      </c>
      <c r="AA100" s="75" t="s">
        <v>86</v>
      </c>
      <c r="AB100" s="76">
        <v>10000</v>
      </c>
      <c r="AC100" s="77">
        <f>IF(AA100="Kataforez",N(AB100),IF(AA100="Yaş boya",'İşçilik Parametreleri'!$B$6/MAX(1,ROUND(IF(ISNUMBER(AB100),AB100,'İşçilik Parametreleri'!$B$7),0)),0))</f>
        <v>8.0000000000000002E-3</v>
      </c>
      <c r="AD100" s="78">
        <f>W100/100*'İşçilik Parametreleri'!$B$9+X100/100*'İşçilik Parametreleri'!$B$17+Y100/100*'İşçilik Parametreleri'!$B$25</f>
        <v>6.0412999999999997</v>
      </c>
      <c r="AE100" s="78">
        <f t="shared" si="10"/>
        <v>6.0492999999999997</v>
      </c>
      <c r="AF100" s="75">
        <v>10</v>
      </c>
      <c r="AG100" s="84">
        <f>AD100*AF100+IF(AA100="Kataforez",N(AB100)*AF100,IF(AA100="Yaş boya",ROUNDUP(AF100/MAX(1,ROUND(IF(ISNUMBER(AB100),AB100,'İşçilik Parametreleri'!$B$7),0)),0)*'İşçilik Parametreleri'!$B$6,0))</f>
        <v>140.41300000000001</v>
      </c>
      <c r="AH100" s="70">
        <f t="shared" si="11"/>
        <v>3.0206499999999998</v>
      </c>
    </row>
    <row r="101" spans="1:34" ht="15" customHeight="1" x14ac:dyDescent="0.25">
      <c r="A101" s="82" t="s">
        <v>538</v>
      </c>
      <c r="B101" s="80" t="s">
        <v>23</v>
      </c>
      <c r="C101" s="81" t="s">
        <v>235</v>
      </c>
      <c r="D101" s="68" t="s">
        <v>117</v>
      </c>
      <c r="E101" s="68" t="s">
        <v>447</v>
      </c>
      <c r="F101" s="68">
        <v>1</v>
      </c>
      <c r="G101" s="68">
        <v>2</v>
      </c>
      <c r="H101" s="68">
        <v>3</v>
      </c>
      <c r="I101" s="68">
        <v>3</v>
      </c>
      <c r="J101" s="68">
        <v>1</v>
      </c>
      <c r="K101" s="70">
        <v>4.7859999999999996</v>
      </c>
      <c r="L101" s="70">
        <v>4.6479999999999997</v>
      </c>
      <c r="M101" s="71">
        <f t="shared" si="8"/>
        <v>-2.8834099456748832E-2</v>
      </c>
      <c r="N101" s="68">
        <v>4</v>
      </c>
      <c r="O101" s="68">
        <v>4</v>
      </c>
      <c r="P101" s="68">
        <v>0</v>
      </c>
      <c r="Q101" s="72">
        <v>0</v>
      </c>
      <c r="R101" s="72">
        <v>0</v>
      </c>
      <c r="S101" s="72">
        <v>0</v>
      </c>
      <c r="T101" s="72">
        <v>0</v>
      </c>
      <c r="U101" s="72">
        <v>240</v>
      </c>
      <c r="V101" s="73">
        <f>SUM(Q101:U101)*'İşçilik Parametreleri'!$B$28/1000</f>
        <v>0.24</v>
      </c>
      <c r="W101" s="70">
        <f>SUMIF('Büküm Parçaları'!$A$2:$A$213,A101,'Büküm Parçaları'!$I$2:$I$213)</f>
        <v>5.4049999999999994</v>
      </c>
      <c r="X101" s="70">
        <f>(I101*'İşçilik Parametreleri'!$B$18+IF(L101&gt;'İşçilik Parametreleri'!$B$21,'İşçilik Parametreleri'!$B$20,'İşçilik Parametreleri'!$B$19)+N101*'İşçilik Parametreleri'!$B$22)*'İşçilik Parametreleri'!$B$23</f>
        <v>12.9125</v>
      </c>
      <c r="Y101" s="70">
        <f>(IF('İşçilik Parametreleri'!$B$27="Resme göre",(Q101*INDEX('İşçilik Parametreleri'!$F$16:$I$20,1,MATCH('İşçilik Parametreleri'!$B$26,{"Manuel","Robot","HTD","Lazer"},0))+R101*INDEX('İşçilik Parametreleri'!$F$16:$I$20,2,MATCH('İşçilik Parametreleri'!$B$26,{"Manuel","Robot","HTD","Lazer"},0))+S101*INDEX('İşçilik Parametreleri'!$F$16:$I$20,3,MATCH('İşçilik Parametreleri'!$B$26,{"Manuel","Robot","HTD","Lazer"},0))+T101*INDEX('İşçilik Parametreleri'!$F$16:$I$20,4,MATCH('İşçilik Parametreleri'!$B$26,{"Manuel","Robot","HTD","Lazer"},0))+U101*INDEX('İşçilik Parametreleri'!$F$16:$I$20,5,MATCH('İşçilik Parametreleri'!$B$26,{"Manuel","Robot","HTD","Lazer"},0))),SUM(Q101:U101)*INDEX('İşçilik Parametreleri'!$F$16:$I$20,MATCH(VALUE('İşçilik Parametreleri'!$B$27),'İşçilik Parametreleri'!$E$16:$E$20,0),MATCH('İşçilik Parametreleri'!$B$26,{"Manuel","Robot","HTD","Lazer"},0)))*'İşçilik Parametreleri'!$B$28/1000+O101*IF(OR('İşçilik Parametreleri'!$B$26="Robot",'İşçilik Parametreleri'!$B$26="HTD"),'İşçilik Parametreleri'!$B$30,'İşçilik Parametreleri'!$B$29))*'İşçilik Parametreleri'!$B$31</f>
        <v>11.440000000000001</v>
      </c>
      <c r="Z101" s="74">
        <f t="shared" si="9"/>
        <v>17.854499999999998</v>
      </c>
      <c r="AA101" s="75" t="s">
        <v>86</v>
      </c>
      <c r="AB101" s="76">
        <v>10000</v>
      </c>
      <c r="AC101" s="77">
        <f>IF(AA101="Kataforez",N(AB101),IF(AA101="Yaş boya",'İşçilik Parametreleri'!$B$6/MAX(1,ROUND(IF(ISNUMBER(AB101),AB101,'İşçilik Parametreleri'!$B$7),0)),0))</f>
        <v>8.0000000000000002E-3</v>
      </c>
      <c r="AD101" s="78">
        <f>W101/100*'İşçilik Parametreleri'!$B$9+X101/100*'İşçilik Parametreleri'!$B$17+Y101/100*'İşçilik Parametreleri'!$B$25</f>
        <v>5.9514999999999993</v>
      </c>
      <c r="AE101" s="78">
        <f t="shared" si="10"/>
        <v>5.9594999999999994</v>
      </c>
      <c r="AF101" s="75">
        <v>10</v>
      </c>
      <c r="AG101" s="84">
        <f>AD101*AF101+IF(AA101="Kataforez",N(AB101)*AF101,IF(AA101="Yaş boya",ROUNDUP(AF101/MAX(1,ROUND(IF(ISNUMBER(AB101),AB101,'İşçilik Parametreleri'!$B$7),0)),0)*'İşçilik Parametreleri'!$B$6,0))</f>
        <v>139.51499999999999</v>
      </c>
      <c r="AH101" s="70">
        <f t="shared" si="11"/>
        <v>2.9757499999999997</v>
      </c>
    </row>
    <row r="102" spans="1:34" ht="15" customHeight="1" x14ac:dyDescent="0.25">
      <c r="A102" s="82" t="s">
        <v>539</v>
      </c>
      <c r="B102" s="80" t="s">
        <v>23</v>
      </c>
      <c r="C102" s="81" t="s">
        <v>236</v>
      </c>
      <c r="D102" s="68" t="s">
        <v>130</v>
      </c>
      <c r="E102" s="68" t="s">
        <v>130</v>
      </c>
      <c r="F102" s="68">
        <v>1</v>
      </c>
      <c r="G102" s="68">
        <v>4</v>
      </c>
      <c r="H102" s="68">
        <v>9</v>
      </c>
      <c r="I102" s="68">
        <v>8</v>
      </c>
      <c r="J102" s="68">
        <v>7</v>
      </c>
      <c r="K102" s="70"/>
      <c r="L102" s="70">
        <v>8.5649999999999995</v>
      </c>
      <c r="M102" s="71" t="str">
        <f t="shared" ref="M102:M133" si="12">IF(ISNUMBER(K102),(L102-K102)/K102,"")</f>
        <v/>
      </c>
      <c r="N102" s="68">
        <v>10</v>
      </c>
      <c r="O102" s="68">
        <v>10</v>
      </c>
      <c r="P102" s="68">
        <v>0</v>
      </c>
      <c r="Q102" s="72">
        <v>0</v>
      </c>
      <c r="R102" s="72">
        <v>0</v>
      </c>
      <c r="S102" s="72">
        <v>1000</v>
      </c>
      <c r="T102" s="72">
        <v>0</v>
      </c>
      <c r="U102" s="72">
        <v>0</v>
      </c>
      <c r="V102" s="73">
        <f>SUM(Q102:U102)*'İşçilik Parametreleri'!$B$28/1000</f>
        <v>1</v>
      </c>
      <c r="W102" s="70">
        <f>SUMIF('Büküm Parçaları'!$A$2:$A$213,A102,'Büküm Parçaları'!$I$2:$I$213)</f>
        <v>25.07</v>
      </c>
      <c r="X102" s="70">
        <f>(I102*'İşçilik Parametreleri'!$B$18+IF(L102&gt;'İşçilik Parametreleri'!$B$21,'İşçilik Parametreleri'!$B$20,'İşçilik Parametreleri'!$B$19)+N102*'İşçilik Parametreleri'!$B$22)*'İşçilik Parametreleri'!$B$23</f>
        <v>26.662499999999998</v>
      </c>
      <c r="Y102" s="70">
        <f>(IF('İşçilik Parametreleri'!$B$27="Resme göre",(Q102*INDEX('İşçilik Parametreleri'!$F$16:$I$20,1,MATCH('İşçilik Parametreleri'!$B$26,{"Manuel","Robot","HTD","Lazer"},0))+R102*INDEX('İşçilik Parametreleri'!$F$16:$I$20,2,MATCH('İşçilik Parametreleri'!$B$26,{"Manuel","Robot","HTD","Lazer"},0))+S102*INDEX('İşçilik Parametreleri'!$F$16:$I$20,3,MATCH('İşçilik Parametreleri'!$B$26,{"Manuel","Robot","HTD","Lazer"},0))+T102*INDEX('İşçilik Parametreleri'!$F$16:$I$20,4,MATCH('İşçilik Parametreleri'!$B$26,{"Manuel","Robot","HTD","Lazer"},0))+U102*INDEX('İşçilik Parametreleri'!$F$16:$I$20,5,MATCH('İşçilik Parametreleri'!$B$26,{"Manuel","Robot","HTD","Lazer"},0))),SUM(Q102:U102)*INDEX('İşçilik Parametreleri'!$F$16:$I$20,MATCH(VALUE('İşçilik Parametreleri'!$B$27),'İşçilik Parametreleri'!$E$16:$E$20,0),MATCH('İşçilik Parametreleri'!$B$26,{"Manuel","Robot","HTD","Lazer"},0)))*'İşçilik Parametreleri'!$B$28/1000+O102*IF(OR('İşçilik Parametreleri'!$B$26="Robot",'İşçilik Parametreleri'!$B$26="HTD"),'İşçilik Parametreleri'!$B$30,'İşçilik Parametreleri'!$B$29))*'İşçilik Parametreleri'!$B$31</f>
        <v>28</v>
      </c>
      <c r="Z102" s="74">
        <f t="shared" ref="Z102:Z133" si="13">(W102+X102+Y102)*0.6</f>
        <v>47.839500000000001</v>
      </c>
      <c r="AA102" s="75" t="s">
        <v>124</v>
      </c>
      <c r="AB102" s="76"/>
      <c r="AC102" s="77">
        <f>IF(AA102="Kataforez",N(AB102),IF(AA102="Yaş boya",'İşçilik Parametreleri'!$B$6/MAX(1,ROUND(IF(ISNUMBER(AB102),AB102,'İşçilik Parametreleri'!$B$7),0)),0))</f>
        <v>0</v>
      </c>
      <c r="AD102" s="78">
        <f>W102/100*'İşçilik Parametreleri'!$B$9+X102/100*'İşçilik Parametreleri'!$B$17+Y102/100*'İşçilik Parametreleri'!$B$25</f>
        <v>15.9465</v>
      </c>
      <c r="AE102" s="78">
        <f t="shared" ref="AE102:AE133" si="14">AD102+AC102</f>
        <v>15.9465</v>
      </c>
      <c r="AF102" s="75">
        <v>13</v>
      </c>
      <c r="AG102" s="84">
        <f>AD102*AF102+IF(AA102="Kataforez",N(AB102)*AF102,IF(AA102="Yaş boya",ROUNDUP(AF102/MAX(1,ROUND(IF(ISNUMBER(AB102),AB102,'İşçilik Parametreleri'!$B$7),0)),0)*'İşçilik Parametreleri'!$B$6,0))</f>
        <v>207.30450000000002</v>
      </c>
      <c r="AH102" s="70">
        <f t="shared" ref="AH102:AH133" si="15">(W102+X102+Y102)*AF102/100</f>
        <v>10.365225000000001</v>
      </c>
    </row>
    <row r="103" spans="1:34" ht="15" customHeight="1" x14ac:dyDescent="0.25">
      <c r="A103" s="82" t="s">
        <v>540</v>
      </c>
      <c r="B103" s="80" t="s">
        <v>23</v>
      </c>
      <c r="C103" s="81" t="s">
        <v>238</v>
      </c>
      <c r="D103" s="68" t="s">
        <v>148</v>
      </c>
      <c r="E103" s="68" t="s">
        <v>442</v>
      </c>
      <c r="F103" s="68">
        <v>1</v>
      </c>
      <c r="G103" s="68">
        <v>2</v>
      </c>
      <c r="H103" s="68">
        <v>2</v>
      </c>
      <c r="I103" s="68">
        <v>2</v>
      </c>
      <c r="J103" s="68">
        <v>1</v>
      </c>
      <c r="K103" s="70">
        <v>0.69199999999999995</v>
      </c>
      <c r="L103" s="70">
        <v>0.67900000000000005</v>
      </c>
      <c r="M103" s="71">
        <f t="shared" si="12"/>
        <v>-1.8786127167629917E-2</v>
      </c>
      <c r="N103" s="68">
        <v>2</v>
      </c>
      <c r="O103" s="68">
        <v>2</v>
      </c>
      <c r="P103" s="68">
        <v>0</v>
      </c>
      <c r="Q103" s="72">
        <v>150</v>
      </c>
      <c r="R103" s="72">
        <v>0</v>
      </c>
      <c r="S103" s="72">
        <v>0</v>
      </c>
      <c r="T103" s="72">
        <v>0</v>
      </c>
      <c r="U103" s="72">
        <v>0</v>
      </c>
      <c r="V103" s="73">
        <f>SUM(Q103:U103)*'İşçilik Parametreleri'!$B$28/1000</f>
        <v>0.15</v>
      </c>
      <c r="W103" s="70">
        <f>SUMIF('Büküm Parçaları'!$A$2:$A$213,A103,'Büküm Parçaları'!$I$2:$I$213)</f>
        <v>5.4049999999999994</v>
      </c>
      <c r="X103" s="70">
        <f>(I103*'İşçilik Parametreleri'!$B$18+IF(L103&gt;'İşçilik Parametreleri'!$B$21,'İşçilik Parametreleri'!$B$20,'İşçilik Parametreleri'!$B$19)+N103*'İşçilik Parametreleri'!$B$22)*'İşçilik Parametreleri'!$B$23</f>
        <v>9.1624999999999996</v>
      </c>
      <c r="Y103" s="70">
        <f>(IF('İşçilik Parametreleri'!$B$27="Resme göre",(Q103*INDEX('İşçilik Parametreleri'!$F$16:$I$20,1,MATCH('İşçilik Parametreleri'!$B$26,{"Manuel","Robot","HTD","Lazer"},0))+R103*INDEX('İşçilik Parametreleri'!$F$16:$I$20,2,MATCH('İşçilik Parametreleri'!$B$26,{"Manuel","Robot","HTD","Lazer"},0))+S103*INDEX('İşçilik Parametreleri'!$F$16:$I$20,3,MATCH('İşçilik Parametreleri'!$B$26,{"Manuel","Robot","HTD","Lazer"},0))+T103*INDEX('İşçilik Parametreleri'!$F$16:$I$20,4,MATCH('İşçilik Parametreleri'!$B$26,{"Manuel","Robot","HTD","Lazer"},0))+U103*INDEX('İşçilik Parametreleri'!$F$16:$I$20,5,MATCH('İşçilik Parametreleri'!$B$26,{"Manuel","Robot","HTD","Lazer"},0))),SUM(Q103:U103)*INDEX('İşçilik Parametreleri'!$F$16:$I$20,MATCH(VALUE('İşçilik Parametreleri'!$B$27),'İşçilik Parametreleri'!$E$16:$E$20,0),MATCH('İşçilik Parametreleri'!$B$26,{"Manuel","Robot","HTD","Lazer"},0)))*'İşçilik Parametreleri'!$B$28/1000+O103*IF(OR('İşçilik Parametreleri'!$B$26="Robot",'İşçilik Parametreleri'!$B$26="HTD"),'İşçilik Parametreleri'!$B$30,'İşçilik Parametreleri'!$B$29))*'İşçilik Parametreleri'!$B$31</f>
        <v>3.05</v>
      </c>
      <c r="Z103" s="74">
        <f t="shared" si="13"/>
        <v>10.570499999999999</v>
      </c>
      <c r="AA103" s="75" t="s">
        <v>86</v>
      </c>
      <c r="AB103" s="76">
        <v>10000</v>
      </c>
      <c r="AC103" s="77">
        <f>IF(AA103="Kataforez",N(AB103),IF(AA103="Yaş boya",'İşçilik Parametreleri'!$B$6/MAX(1,ROUND(IF(ISNUMBER(AB103),AB103,'İşçilik Parametreleri'!$B$7),0)),0))</f>
        <v>8.0000000000000002E-3</v>
      </c>
      <c r="AD103" s="78">
        <f>W103/100*'İşçilik Parametreleri'!$B$9+X103/100*'İşçilik Parametreleri'!$B$17+Y103/100*'İşçilik Parametreleri'!$B$25</f>
        <v>3.5234999999999999</v>
      </c>
      <c r="AE103" s="78">
        <f t="shared" si="14"/>
        <v>3.5314999999999999</v>
      </c>
      <c r="AF103" s="75">
        <v>15</v>
      </c>
      <c r="AG103" s="84">
        <f>AD103*AF103+IF(AA103="Kataforez",N(AB103)*AF103,IF(AA103="Yaş boya",ROUNDUP(AF103/MAX(1,ROUND(IF(ISNUMBER(AB103),AB103,'İşçilik Parametreleri'!$B$7),0)),0)*'İşçilik Parametreleri'!$B$6,0))</f>
        <v>132.85249999999999</v>
      </c>
      <c r="AH103" s="70">
        <f t="shared" si="15"/>
        <v>2.6426249999999998</v>
      </c>
    </row>
    <row r="104" spans="1:34" ht="15" customHeight="1" x14ac:dyDescent="0.25">
      <c r="A104" s="82" t="s">
        <v>541</v>
      </c>
      <c r="B104" s="68" t="s">
        <v>439</v>
      </c>
      <c r="C104" s="69" t="s">
        <v>240</v>
      </c>
      <c r="D104" s="68" t="s">
        <v>84</v>
      </c>
      <c r="E104" s="68" t="s">
        <v>478</v>
      </c>
      <c r="F104" s="68">
        <v>1</v>
      </c>
      <c r="G104" s="68">
        <v>4</v>
      </c>
      <c r="H104" s="68">
        <v>9</v>
      </c>
      <c r="I104" s="68">
        <v>9</v>
      </c>
      <c r="J104" s="68">
        <v>4</v>
      </c>
      <c r="K104" s="70">
        <v>8.8350000000000009</v>
      </c>
      <c r="L104" s="70">
        <v>8.8569999999999993</v>
      </c>
      <c r="M104" s="71">
        <f t="shared" si="12"/>
        <v>2.490096208262418E-3</v>
      </c>
      <c r="N104" s="68">
        <v>14</v>
      </c>
      <c r="O104" s="68">
        <v>14</v>
      </c>
      <c r="P104" s="68">
        <v>0</v>
      </c>
      <c r="Q104" s="72">
        <v>3132</v>
      </c>
      <c r="R104" s="72">
        <v>0</v>
      </c>
      <c r="S104" s="72">
        <v>0</v>
      </c>
      <c r="T104" s="72">
        <v>0</v>
      </c>
      <c r="U104" s="72">
        <v>0</v>
      </c>
      <c r="V104" s="73">
        <f>SUM(Q104:U104)*'İşçilik Parametreleri'!$B$28/1000</f>
        <v>3.1320000000000001</v>
      </c>
      <c r="W104" s="70">
        <f>SUMIF('Büküm Parçaları'!$A$2:$A$213,A104,'Büküm Parçaları'!$I$2:$I$213)</f>
        <v>18.428750000000001</v>
      </c>
      <c r="X104" s="70">
        <f>(I104*'İşçilik Parametreleri'!$B$18+IF(L104&gt;'İşçilik Parametreleri'!$B$21,'İşçilik Parametreleri'!$B$20,'İşçilik Parametreleri'!$B$19)+N104*'İşçilik Parametreleri'!$B$22)*'İşçilik Parametreleri'!$B$23</f>
        <v>32.912499999999994</v>
      </c>
      <c r="Y104" s="70">
        <f>(IF('İşçilik Parametreleri'!$B$27="Resme göre",(Q104*INDEX('İşçilik Parametreleri'!$F$16:$I$20,1,MATCH('İşçilik Parametreleri'!$B$26,{"Manuel","Robot","HTD","Lazer"},0))+R104*INDEX('İşçilik Parametreleri'!$F$16:$I$20,2,MATCH('İşçilik Parametreleri'!$B$26,{"Manuel","Robot","HTD","Lazer"},0))+S104*INDEX('İşçilik Parametreleri'!$F$16:$I$20,3,MATCH('İşçilik Parametreleri'!$B$26,{"Manuel","Robot","HTD","Lazer"},0))+T104*INDEX('İşçilik Parametreleri'!$F$16:$I$20,4,MATCH('İşçilik Parametreleri'!$B$26,{"Manuel","Robot","HTD","Lazer"},0))+U104*INDEX('İşçilik Parametreleri'!$F$16:$I$20,5,MATCH('İşçilik Parametreleri'!$B$26,{"Manuel","Robot","HTD","Lazer"},0))),SUM(Q104:U104)*INDEX('İşçilik Parametreleri'!$F$16:$I$20,MATCH(VALUE('İşçilik Parametreleri'!$B$27),'İşçilik Parametreleri'!$E$16:$E$20,0),MATCH('İşçilik Parametreleri'!$B$26,{"Manuel","Robot","HTD","Lazer"},0)))*'İşçilik Parametreleri'!$B$28/1000+O104*IF(OR('İşçilik Parametreleri'!$B$26="Robot",'İşçilik Parametreleri'!$B$26="HTD"),'İşçilik Parametreleri'!$B$30,'İşçilik Parametreleri'!$B$29))*'İşçilik Parametreleri'!$B$31</f>
        <v>35.923999999999999</v>
      </c>
      <c r="Z104" s="74">
        <f t="shared" si="13"/>
        <v>52.359149999999993</v>
      </c>
      <c r="AA104" s="75" t="s">
        <v>86</v>
      </c>
      <c r="AB104" s="76">
        <v>10000</v>
      </c>
      <c r="AC104" s="77">
        <f>IF(AA104="Kataforez",N(AB104),IF(AA104="Yaş boya",'İşçilik Parametreleri'!$B$6/MAX(1,ROUND(IF(ISNUMBER(AB104),AB104,'İşçilik Parametreleri'!$B$7),0)),0))</f>
        <v>8.0000000000000002E-3</v>
      </c>
      <c r="AD104" s="78">
        <f>W104/100*'İşçilik Parametreleri'!$B$9+X104/100*'İşçilik Parametreleri'!$B$17+Y104/100*'İşçilik Parametreleri'!$B$25</f>
        <v>17.453049999999998</v>
      </c>
      <c r="AE104" s="78">
        <f t="shared" si="14"/>
        <v>17.461049999999997</v>
      </c>
      <c r="AF104" s="75">
        <v>3</v>
      </c>
      <c r="AG104" s="84">
        <f>AD104*AF104+IF(AA104="Kataforez",N(AB104)*AF104,IF(AA104="Yaş boya",ROUNDUP(AF104/MAX(1,ROUND(IF(ISNUMBER(AB104),AB104,'İşçilik Parametreleri'!$B$7),0)),0)*'İşçilik Parametreleri'!$B$6,0))</f>
        <v>132.35915</v>
      </c>
      <c r="AH104" s="70">
        <f t="shared" si="15"/>
        <v>2.6179575000000002</v>
      </c>
    </row>
    <row r="105" spans="1:34" ht="15" customHeight="1" x14ac:dyDescent="0.25">
      <c r="A105" s="82" t="s">
        <v>241</v>
      </c>
      <c r="B105" s="80" t="s">
        <v>23</v>
      </c>
      <c r="C105" s="81" t="s">
        <v>241</v>
      </c>
      <c r="D105" s="68" t="s">
        <v>130</v>
      </c>
      <c r="E105" s="68" t="s">
        <v>130</v>
      </c>
      <c r="F105" s="68">
        <v>2</v>
      </c>
      <c r="G105" s="68">
        <v>3</v>
      </c>
      <c r="H105" s="68">
        <v>3</v>
      </c>
      <c r="I105" s="68">
        <v>3</v>
      </c>
      <c r="J105" s="68">
        <v>0</v>
      </c>
      <c r="K105" s="70">
        <v>4.0940000000000003</v>
      </c>
      <c r="L105" s="70">
        <v>5.056</v>
      </c>
      <c r="M105" s="71">
        <f t="shared" si="12"/>
        <v>0.2349780166096726</v>
      </c>
      <c r="N105" s="68">
        <v>4</v>
      </c>
      <c r="O105" s="68">
        <v>4</v>
      </c>
      <c r="P105" s="68">
        <v>0</v>
      </c>
      <c r="Q105" s="72">
        <v>448</v>
      </c>
      <c r="R105" s="72">
        <v>0</v>
      </c>
      <c r="S105" s="72">
        <v>0</v>
      </c>
      <c r="T105" s="72">
        <v>0</v>
      </c>
      <c r="U105" s="72">
        <v>0</v>
      </c>
      <c r="V105" s="73">
        <f>SUM(Q105:U105)*'İşçilik Parametreleri'!$B$28/1000</f>
        <v>0.44800000000000001</v>
      </c>
      <c r="W105" s="70">
        <f>SUMIF('Büküm Parçaları'!$A$2:$A$213,A105,'Büküm Parçaları'!$I$2:$I$213)</f>
        <v>0</v>
      </c>
      <c r="X105" s="70">
        <f>(I105*'İşçilik Parametreleri'!$B$18+IF(L105&gt;'İşçilik Parametreleri'!$B$21,'İşçilik Parametreleri'!$B$20,'İşçilik Parametreleri'!$B$19)+N105*'İşçilik Parametreleri'!$B$22)*'İşçilik Parametreleri'!$B$23</f>
        <v>12.9125</v>
      </c>
      <c r="Y105" s="70">
        <f>(IF('İşçilik Parametreleri'!$B$27="Resme göre",(Q105*INDEX('İşçilik Parametreleri'!$F$16:$I$20,1,MATCH('İşçilik Parametreleri'!$B$26,{"Manuel","Robot","HTD","Lazer"},0))+R105*INDEX('İşçilik Parametreleri'!$F$16:$I$20,2,MATCH('İşçilik Parametreleri'!$B$26,{"Manuel","Robot","HTD","Lazer"},0))+S105*INDEX('İşçilik Parametreleri'!$F$16:$I$20,3,MATCH('İşçilik Parametreleri'!$B$26,{"Manuel","Robot","HTD","Lazer"},0))+T105*INDEX('İşçilik Parametreleri'!$F$16:$I$20,4,MATCH('İşçilik Parametreleri'!$B$26,{"Manuel","Robot","HTD","Lazer"},0))+U105*INDEX('İşçilik Parametreleri'!$F$16:$I$20,5,MATCH('İşçilik Parametreleri'!$B$26,{"Manuel","Robot","HTD","Lazer"},0))),SUM(Q105:U105)*INDEX('İşçilik Parametreleri'!$F$16:$I$20,MATCH(VALUE('İşçilik Parametreleri'!$B$27),'İşçilik Parametreleri'!$E$16:$E$20,0),MATCH('İşçilik Parametreleri'!$B$26,{"Manuel","Robot","HTD","Lazer"},0)))*'İşçilik Parametreleri'!$B$28/1000+O105*IF(OR('İşçilik Parametreleri'!$B$26="Robot",'İşçilik Parametreleri'!$B$26="HTD"),'İşçilik Parametreleri'!$B$30,'İşçilik Parametreleri'!$B$29))*'İşçilik Parametreleri'!$B$31</f>
        <v>7.1360000000000001</v>
      </c>
      <c r="Z105" s="74">
        <f t="shared" si="13"/>
        <v>12.0291</v>
      </c>
      <c r="AA105" s="75" t="s">
        <v>124</v>
      </c>
      <c r="AB105" s="76"/>
      <c r="AC105" s="77">
        <f>IF(AA105="Kataforez",N(AB105),IF(AA105="Yaş boya",'İşçilik Parametreleri'!$B$6/MAX(1,ROUND(IF(ISNUMBER(AB105),AB105,'İşçilik Parametreleri'!$B$7),0)),0))</f>
        <v>0</v>
      </c>
      <c r="AD105" s="78">
        <f>W105/100*'İşçilik Parametreleri'!$B$9+X105/100*'İşçilik Parametreleri'!$B$17+Y105/100*'İşçilik Parametreleri'!$B$25</f>
        <v>4.0096999999999996</v>
      </c>
      <c r="AE105" s="78">
        <f t="shared" si="14"/>
        <v>4.0096999999999996</v>
      </c>
      <c r="AF105" s="75">
        <v>50</v>
      </c>
      <c r="AG105" s="84">
        <f>AD105*AF105+IF(AA105="Kataforez",N(AB105)*AF105,IF(AA105="Yaş boya",ROUNDUP(AF105/MAX(1,ROUND(IF(ISNUMBER(AB105),AB105,'İşçilik Parametreleri'!$B$7),0)),0)*'İşçilik Parametreleri'!$B$6,0))</f>
        <v>200.48499999999999</v>
      </c>
      <c r="AH105" s="70">
        <f t="shared" si="15"/>
        <v>10.02425</v>
      </c>
    </row>
    <row r="106" spans="1:34" ht="15" customHeight="1" x14ac:dyDescent="0.25">
      <c r="A106" s="67" t="s">
        <v>542</v>
      </c>
      <c r="B106" s="68" t="s">
        <v>439</v>
      </c>
      <c r="C106" s="69" t="s">
        <v>242</v>
      </c>
      <c r="D106" s="68" t="s">
        <v>243</v>
      </c>
      <c r="E106" s="68" t="s">
        <v>478</v>
      </c>
      <c r="F106" s="68">
        <v>1</v>
      </c>
      <c r="G106" s="68">
        <v>2</v>
      </c>
      <c r="H106" s="68">
        <v>4</v>
      </c>
      <c r="I106" s="68">
        <v>4</v>
      </c>
      <c r="J106" s="68">
        <v>1</v>
      </c>
      <c r="K106" s="70">
        <v>27.638999999999999</v>
      </c>
      <c r="L106" s="70">
        <v>27.72</v>
      </c>
      <c r="M106" s="71">
        <f t="shared" si="12"/>
        <v>2.9306414848583348E-3</v>
      </c>
      <c r="N106" s="68">
        <v>5</v>
      </c>
      <c r="O106" s="68">
        <v>5</v>
      </c>
      <c r="P106" s="68">
        <v>0</v>
      </c>
      <c r="Q106" s="72">
        <v>0</v>
      </c>
      <c r="R106" s="72">
        <v>0</v>
      </c>
      <c r="S106" s="72">
        <v>0</v>
      </c>
      <c r="T106" s="72">
        <v>1583</v>
      </c>
      <c r="U106" s="72">
        <v>0</v>
      </c>
      <c r="V106" s="73">
        <f>SUM(Q106:U106)*'İşçilik Parametreleri'!$B$28/1000</f>
        <v>1.583</v>
      </c>
      <c r="W106" s="70">
        <f>SUMIF('Büküm Parçaları'!$A$2:$A$213,A106,'Büküm Parçaları'!$I$2:$I$213)</f>
        <v>10.723750000000001</v>
      </c>
      <c r="X106" s="70">
        <f>(I106*'İşçilik Parametreleri'!$B$18+IF(L106&gt;'İşçilik Parametreleri'!$B$21,'İşçilik Parametreleri'!$B$20,'İşçilik Parametreleri'!$B$19)+N106*'İşçilik Parametreleri'!$B$22)*'İşçilik Parametreleri'!$B$23</f>
        <v>20</v>
      </c>
      <c r="Y106" s="70">
        <f>(IF('İşçilik Parametreleri'!$B$27="Resme göre",(Q106*INDEX('İşçilik Parametreleri'!$F$16:$I$20,1,MATCH('İşçilik Parametreleri'!$B$26,{"Manuel","Robot","HTD","Lazer"},0))+R106*INDEX('İşçilik Parametreleri'!$F$16:$I$20,2,MATCH('İşçilik Parametreleri'!$B$26,{"Manuel","Robot","HTD","Lazer"},0))+S106*INDEX('İşçilik Parametreleri'!$F$16:$I$20,3,MATCH('İşçilik Parametreleri'!$B$26,{"Manuel","Robot","HTD","Lazer"},0))+T106*INDEX('İşçilik Parametreleri'!$F$16:$I$20,4,MATCH('İşçilik Parametreleri'!$B$26,{"Manuel","Robot","HTD","Lazer"},0))+U106*INDEX('İşçilik Parametreleri'!$F$16:$I$20,5,MATCH('İşçilik Parametreleri'!$B$26,{"Manuel","Robot","HTD","Lazer"},0))),SUM(Q106:U106)*INDEX('İşçilik Parametreleri'!$F$16:$I$20,MATCH(VALUE('İşçilik Parametreleri'!$B$27),'İşçilik Parametreleri'!$E$16:$E$20,0),MATCH('İşçilik Parametreleri'!$B$26,{"Manuel","Robot","HTD","Lazer"},0)))*'İşçilik Parametreleri'!$B$28/1000+O106*IF(OR('İşçilik Parametreleri'!$B$26="Robot",'İşçilik Parametreleri'!$B$26="HTD"),'İşçilik Parametreleri'!$B$30,'İşçilik Parametreleri'!$B$29))*'İşçilik Parametreleri'!$B$31</f>
        <v>47.741</v>
      </c>
      <c r="Z106" s="74">
        <f t="shared" si="13"/>
        <v>47.078850000000003</v>
      </c>
      <c r="AA106" s="75" t="s">
        <v>86</v>
      </c>
      <c r="AB106" s="76">
        <v>10000</v>
      </c>
      <c r="AC106" s="77">
        <f>IF(AA106="Kataforez",N(AB106),IF(AA106="Yaş boya",'İşçilik Parametreleri'!$B$6/MAX(1,ROUND(IF(ISNUMBER(AB106),AB106,'İşçilik Parametreleri'!$B$7),0)),0))</f>
        <v>8.0000000000000002E-3</v>
      </c>
      <c r="AD106" s="78">
        <f>W106/100*'İşçilik Parametreleri'!$B$9+X106/100*'İşçilik Parametreleri'!$B$17+Y106/100*'İşçilik Parametreleri'!$B$25</f>
        <v>15.69295</v>
      </c>
      <c r="AE106" s="78">
        <f t="shared" si="14"/>
        <v>15.700949999999999</v>
      </c>
      <c r="AF106" s="75">
        <v>3</v>
      </c>
      <c r="AG106" s="84">
        <f>AD106*AF106+IF(AA106="Kataforez",N(AB106)*AF106,IF(AA106="Yaş boya",ROUNDUP(AF106/MAX(1,ROUND(IF(ISNUMBER(AB106),AB106,'İşçilik Parametreleri'!$B$7),0)),0)*'İşçilik Parametreleri'!$B$6,0))</f>
        <v>127.07885</v>
      </c>
      <c r="AH106" s="70">
        <f t="shared" si="15"/>
        <v>2.3539425000000005</v>
      </c>
    </row>
    <row r="107" spans="1:34" ht="15" customHeight="1" x14ac:dyDescent="0.25">
      <c r="A107" s="67" t="s">
        <v>543</v>
      </c>
      <c r="B107" s="68" t="s">
        <v>439</v>
      </c>
      <c r="C107" s="69" t="s">
        <v>244</v>
      </c>
      <c r="D107" s="68" t="s">
        <v>93</v>
      </c>
      <c r="E107" s="68" t="s">
        <v>544</v>
      </c>
      <c r="F107" s="68">
        <v>1</v>
      </c>
      <c r="G107" s="68">
        <v>2</v>
      </c>
      <c r="H107" s="68">
        <v>4</v>
      </c>
      <c r="I107" s="68">
        <v>4</v>
      </c>
      <c r="J107" s="68">
        <v>1</v>
      </c>
      <c r="K107" s="70">
        <v>27.638999999999999</v>
      </c>
      <c r="L107" s="70">
        <v>27.72</v>
      </c>
      <c r="M107" s="71">
        <f t="shared" si="12"/>
        <v>2.9306414848583348E-3</v>
      </c>
      <c r="N107" s="68">
        <v>5</v>
      </c>
      <c r="O107" s="68">
        <v>5</v>
      </c>
      <c r="P107" s="68">
        <v>0</v>
      </c>
      <c r="Q107" s="72">
        <v>0</v>
      </c>
      <c r="R107" s="72">
        <v>0</v>
      </c>
      <c r="S107" s="72">
        <v>0</v>
      </c>
      <c r="T107" s="72">
        <v>1541</v>
      </c>
      <c r="U107" s="72">
        <v>0</v>
      </c>
      <c r="V107" s="73">
        <f>SUM(Q107:U107)*'İşçilik Parametreleri'!$B$28/1000</f>
        <v>1.5409999999999999</v>
      </c>
      <c r="W107" s="70">
        <f>SUMIF('Büküm Parçaları'!$A$2:$A$213,A107,'Büküm Parçaları'!$I$2:$I$213)</f>
        <v>10.723750000000001</v>
      </c>
      <c r="X107" s="70">
        <f>(I107*'İşçilik Parametreleri'!$B$18+IF(L107&gt;'İşçilik Parametreleri'!$B$21,'İşçilik Parametreleri'!$B$20,'İşçilik Parametreleri'!$B$19)+N107*'İşçilik Parametreleri'!$B$22)*'İşçilik Parametreleri'!$B$23</f>
        <v>20</v>
      </c>
      <c r="Y107" s="70">
        <f>(IF('İşçilik Parametreleri'!$B$27="Resme göre",(Q107*INDEX('İşçilik Parametreleri'!$F$16:$I$20,1,MATCH('İşçilik Parametreleri'!$B$26,{"Manuel","Robot","HTD","Lazer"},0))+R107*INDEX('İşçilik Parametreleri'!$F$16:$I$20,2,MATCH('İşçilik Parametreleri'!$B$26,{"Manuel","Robot","HTD","Lazer"},0))+S107*INDEX('İşçilik Parametreleri'!$F$16:$I$20,3,MATCH('İşçilik Parametreleri'!$B$26,{"Manuel","Robot","HTD","Lazer"},0))+T107*INDEX('İşçilik Parametreleri'!$F$16:$I$20,4,MATCH('İşçilik Parametreleri'!$B$26,{"Manuel","Robot","HTD","Lazer"},0))+U107*INDEX('İşçilik Parametreleri'!$F$16:$I$20,5,MATCH('İşçilik Parametreleri'!$B$26,{"Manuel","Robot","HTD","Lazer"},0))),SUM(Q107:U107)*INDEX('İşçilik Parametreleri'!$F$16:$I$20,MATCH(VALUE('İşçilik Parametreleri'!$B$27),'İşçilik Parametreleri'!$E$16:$E$20,0),MATCH('İşçilik Parametreleri'!$B$26,{"Manuel","Robot","HTD","Lazer"},0)))*'İşçilik Parametreleri'!$B$28/1000+O107*IF(OR('İşçilik Parametreleri'!$B$26="Robot",'İşçilik Parametreleri'!$B$26="HTD"),'İşçilik Parametreleri'!$B$30,'İşçilik Parametreleri'!$B$29))*'İşçilik Parametreleri'!$B$31</f>
        <v>46.606999999999999</v>
      </c>
      <c r="Z107" s="74">
        <f t="shared" si="13"/>
        <v>46.398449999999997</v>
      </c>
      <c r="AA107" s="75" t="s">
        <v>86</v>
      </c>
      <c r="AB107" s="76">
        <v>10000</v>
      </c>
      <c r="AC107" s="77">
        <f>IF(AA107="Kataforez",N(AB107),IF(AA107="Yaş boya",'İşçilik Parametreleri'!$B$6/MAX(1,ROUND(IF(ISNUMBER(AB107),AB107,'İşçilik Parametreleri'!$B$7),0)),0))</f>
        <v>8.0000000000000002E-3</v>
      </c>
      <c r="AD107" s="78">
        <f>W107/100*'İşçilik Parametreleri'!$B$9+X107/100*'İşçilik Parametreleri'!$B$17+Y107/100*'İşçilik Parametreleri'!$B$25</f>
        <v>15.466150000000001</v>
      </c>
      <c r="AE107" s="78">
        <f t="shared" si="14"/>
        <v>15.47415</v>
      </c>
      <c r="AF107" s="75">
        <v>3</v>
      </c>
      <c r="AG107" s="84">
        <f>AD107*AF107+IF(AA107="Kataforez",N(AB107)*AF107,IF(AA107="Yaş boya",ROUNDUP(AF107/MAX(1,ROUND(IF(ISNUMBER(AB107),AB107,'İşçilik Parametreleri'!$B$7),0)),0)*'İşçilik Parametreleri'!$B$6,0))</f>
        <v>126.39845</v>
      </c>
      <c r="AH107" s="70">
        <f t="shared" si="15"/>
        <v>2.3199224999999997</v>
      </c>
    </row>
    <row r="108" spans="1:34" ht="15" customHeight="1" x14ac:dyDescent="0.25">
      <c r="A108" s="67" t="s">
        <v>545</v>
      </c>
      <c r="B108" s="68" t="s">
        <v>439</v>
      </c>
      <c r="C108" s="69" t="s">
        <v>245</v>
      </c>
      <c r="D108" s="68" t="s">
        <v>246</v>
      </c>
      <c r="E108" s="68" t="s">
        <v>442</v>
      </c>
      <c r="F108" s="68">
        <v>1</v>
      </c>
      <c r="G108" s="68">
        <v>4</v>
      </c>
      <c r="H108" s="68">
        <v>20</v>
      </c>
      <c r="I108" s="68">
        <v>20</v>
      </c>
      <c r="J108" s="68">
        <v>28</v>
      </c>
      <c r="K108" s="70">
        <v>47.856999999999999</v>
      </c>
      <c r="L108" s="70">
        <v>47.832999999999998</v>
      </c>
      <c r="M108" s="71">
        <f t="shared" si="12"/>
        <v>-5.0149403431056915E-4</v>
      </c>
      <c r="N108" s="68">
        <v>24</v>
      </c>
      <c r="O108" s="68">
        <v>24</v>
      </c>
      <c r="P108" s="68">
        <v>0</v>
      </c>
      <c r="Q108" s="72">
        <v>3913</v>
      </c>
      <c r="R108" s="72">
        <v>0</v>
      </c>
      <c r="S108" s="72">
        <v>0</v>
      </c>
      <c r="T108" s="72">
        <v>0</v>
      </c>
      <c r="U108" s="72">
        <v>0</v>
      </c>
      <c r="V108" s="73">
        <f>SUM(Q108:U108)*'İşçilik Parametreleri'!$B$28/1000</f>
        <v>3.9129999999999998</v>
      </c>
      <c r="W108" s="70">
        <f>SUMIF('Büküm Parçaları'!$A$2:$A$213,A108,'Büküm Parçaları'!$I$2:$I$213)</f>
        <v>108.78999999999999</v>
      </c>
      <c r="X108" s="70">
        <f>(I108*'İşçilik Parametreleri'!$B$18+IF(L108&gt;'İşçilik Parametreleri'!$B$21,'İşçilik Parametreleri'!$B$20,'İşçilik Parametreleri'!$B$19)+N108*'İşçilik Parametreleri'!$B$22)*'İşçilik Parametreleri'!$B$23</f>
        <v>63.75</v>
      </c>
      <c r="Y108" s="70">
        <f>(IF('İşçilik Parametreleri'!$B$27="Resme göre",(Q108*INDEX('İşçilik Parametreleri'!$F$16:$I$20,1,MATCH('İşçilik Parametreleri'!$B$26,{"Manuel","Robot","HTD","Lazer"},0))+R108*INDEX('İşçilik Parametreleri'!$F$16:$I$20,2,MATCH('İşçilik Parametreleri'!$B$26,{"Manuel","Robot","HTD","Lazer"},0))+S108*INDEX('İşçilik Parametreleri'!$F$16:$I$20,3,MATCH('İşçilik Parametreleri'!$B$26,{"Manuel","Robot","HTD","Lazer"},0))+T108*INDEX('İşçilik Parametreleri'!$F$16:$I$20,4,MATCH('İşçilik Parametreleri'!$B$26,{"Manuel","Robot","HTD","Lazer"},0))+U108*INDEX('İşçilik Parametreleri'!$F$16:$I$20,5,MATCH('İşçilik Parametreleri'!$B$26,{"Manuel","Robot","HTD","Lazer"},0))),SUM(Q108:U108)*INDEX('İşçilik Parametreleri'!$F$16:$I$20,MATCH(VALUE('İşçilik Parametreleri'!$B$27),'İşçilik Parametreleri'!$E$16:$E$20,0),MATCH('İşçilik Parametreleri'!$B$26,{"Manuel","Robot","HTD","Lazer"},0)))*'İşçilik Parametreleri'!$B$28/1000+O108*IF(OR('İşçilik Parametreleri'!$B$26="Robot",'İşçilik Parametreleri'!$B$26="HTD"),'İşçilik Parametreleri'!$B$30,'İşçilik Parametreleri'!$B$29))*'İşçilik Parametreleri'!$B$31</f>
        <v>51.390999999999998</v>
      </c>
      <c r="Z108" s="74">
        <f t="shared" si="13"/>
        <v>134.3586</v>
      </c>
      <c r="AA108" s="75" t="s">
        <v>86</v>
      </c>
      <c r="AB108" s="76">
        <v>10000</v>
      </c>
      <c r="AC108" s="77">
        <f>IF(AA108="Kataforez",N(AB108),IF(AA108="Yaş boya",'İşçilik Parametreleri'!$B$6/MAX(1,ROUND(IF(ISNUMBER(AB108),AB108,'İşçilik Parametreleri'!$B$7),0)),0))</f>
        <v>8.0000000000000002E-3</v>
      </c>
      <c r="AD108" s="78">
        <f>W108/100*'İşçilik Parametreleri'!$B$9+X108/100*'İşçilik Parametreleri'!$B$17+Y108/100*'İşçilik Parametreleri'!$B$25</f>
        <v>44.786199999999994</v>
      </c>
      <c r="AE108" s="78">
        <f t="shared" si="14"/>
        <v>44.794199999999996</v>
      </c>
      <c r="AF108" s="75">
        <v>1</v>
      </c>
      <c r="AG108" s="84">
        <f>AD108*AF108+IF(AA108="Kataforez",N(AB108)*AF108,IF(AA108="Yaş boya",ROUNDUP(AF108/MAX(1,ROUND(IF(ISNUMBER(AB108),AB108,'İşçilik Parametreleri'!$B$7),0)),0)*'İşçilik Parametreleri'!$B$6,0))</f>
        <v>124.78619999999999</v>
      </c>
      <c r="AH108" s="70">
        <f t="shared" si="15"/>
        <v>2.2393099999999997</v>
      </c>
    </row>
    <row r="109" spans="1:34" ht="15" customHeight="1" x14ac:dyDescent="0.25">
      <c r="A109" s="82" t="s">
        <v>546</v>
      </c>
      <c r="B109" s="80" t="s">
        <v>23</v>
      </c>
      <c r="C109" s="81" t="s">
        <v>248</v>
      </c>
      <c r="D109" s="68" t="s">
        <v>107</v>
      </c>
      <c r="E109" s="68" t="s">
        <v>447</v>
      </c>
      <c r="F109" s="68">
        <v>1</v>
      </c>
      <c r="G109" s="68">
        <v>2</v>
      </c>
      <c r="H109" s="68">
        <v>3</v>
      </c>
      <c r="I109" s="68">
        <v>3</v>
      </c>
      <c r="J109" s="68">
        <v>2</v>
      </c>
      <c r="K109" s="70">
        <v>1.7989999999999999</v>
      </c>
      <c r="L109" s="70">
        <v>1.7310000000000001</v>
      </c>
      <c r="M109" s="71">
        <f t="shared" si="12"/>
        <v>-3.7798777098387908E-2</v>
      </c>
      <c r="N109" s="68">
        <v>2</v>
      </c>
      <c r="O109" s="68">
        <v>2</v>
      </c>
      <c r="P109" s="68">
        <v>0</v>
      </c>
      <c r="Q109" s="72">
        <v>0</v>
      </c>
      <c r="R109" s="72">
        <v>250</v>
      </c>
      <c r="S109" s="72">
        <v>0</v>
      </c>
      <c r="T109" s="72">
        <v>0</v>
      </c>
      <c r="U109" s="72">
        <v>0</v>
      </c>
      <c r="V109" s="73">
        <f>SUM(Q109:U109)*'İşçilik Parametreleri'!$B$28/1000</f>
        <v>0.25</v>
      </c>
      <c r="W109" s="70">
        <f>SUMIF('Büküm Parçaları'!$A$2:$A$213,A109,'Büküm Parçaları'!$I$2:$I$213)</f>
        <v>6.5549999999999997</v>
      </c>
      <c r="X109" s="70">
        <f>(I109*'İşçilik Parametreleri'!$B$18+IF(L109&gt;'İşçilik Parametreleri'!$B$21,'İşçilik Parametreleri'!$B$20,'İşçilik Parametreleri'!$B$19)+N109*'İşçilik Parametreleri'!$B$22)*'İşçilik Parametreleri'!$B$23</f>
        <v>10.4125</v>
      </c>
      <c r="Y109" s="70">
        <f>(IF('İşçilik Parametreleri'!$B$27="Resme göre",(Q109*INDEX('İşçilik Parametreleri'!$F$16:$I$20,1,MATCH('İşçilik Parametreleri'!$B$26,{"Manuel","Robot","HTD","Lazer"},0))+R109*INDEX('İşçilik Parametreleri'!$F$16:$I$20,2,MATCH('İşçilik Parametreleri'!$B$26,{"Manuel","Robot","HTD","Lazer"},0))+S109*INDEX('İşçilik Parametreleri'!$F$16:$I$20,3,MATCH('İşçilik Parametreleri'!$B$26,{"Manuel","Robot","HTD","Lazer"},0))+T109*INDEX('İşçilik Parametreleri'!$F$16:$I$20,4,MATCH('İşçilik Parametreleri'!$B$26,{"Manuel","Robot","HTD","Lazer"},0))+U109*INDEX('İşçilik Parametreleri'!$F$16:$I$20,5,MATCH('İşçilik Parametreleri'!$B$26,{"Manuel","Robot","HTD","Lazer"},0))),SUM(Q109:U109)*INDEX('İşçilik Parametreleri'!$F$16:$I$20,MATCH(VALUE('İşçilik Parametreleri'!$B$27),'İşçilik Parametreleri'!$E$16:$E$20,0),MATCH('İşçilik Parametreleri'!$B$26,{"Manuel","Robot","HTD","Lazer"},0)))*'İşçilik Parametreleri'!$B$28/1000+O109*IF(OR('İşçilik Parametreleri'!$B$26="Robot",'İşçilik Parametreleri'!$B$26="HTD"),'İşçilik Parametreleri'!$B$30,'İşçilik Parametreleri'!$B$29))*'İşçilik Parametreleri'!$B$31</f>
        <v>4.75</v>
      </c>
      <c r="Z109" s="74">
        <f t="shared" si="13"/>
        <v>13.0305</v>
      </c>
      <c r="AA109" s="75" t="s">
        <v>86</v>
      </c>
      <c r="AB109" s="76">
        <v>10000</v>
      </c>
      <c r="AC109" s="77">
        <f>IF(AA109="Kataforez",N(AB109),IF(AA109="Yaş boya",'İşçilik Parametreleri'!$B$6/MAX(1,ROUND(IF(ISNUMBER(AB109),AB109,'İşçilik Parametreleri'!$B$7),0)),0))</f>
        <v>8.0000000000000002E-3</v>
      </c>
      <c r="AD109" s="78">
        <f>W109/100*'İşçilik Parametreleri'!$B$9+X109/100*'İşçilik Parametreleri'!$B$17+Y109/100*'İşçilik Parametreleri'!$B$25</f>
        <v>4.3434999999999997</v>
      </c>
      <c r="AE109" s="78">
        <f t="shared" si="14"/>
        <v>4.3514999999999997</v>
      </c>
      <c r="AF109" s="75">
        <v>10</v>
      </c>
      <c r="AG109" s="84">
        <f>AD109*AF109+IF(AA109="Kataforez",N(AB109)*AF109,IF(AA109="Yaş boya",ROUNDUP(AF109/MAX(1,ROUND(IF(ISNUMBER(AB109),AB109,'İşçilik Parametreleri'!$B$7),0)),0)*'İşçilik Parametreleri'!$B$6,0))</f>
        <v>123.435</v>
      </c>
      <c r="AH109" s="70">
        <f t="shared" si="15"/>
        <v>2.1717500000000003</v>
      </c>
    </row>
    <row r="110" spans="1:34" ht="15" customHeight="1" x14ac:dyDescent="0.25">
      <c r="A110" s="82" t="s">
        <v>547</v>
      </c>
      <c r="B110" s="80" t="s">
        <v>23</v>
      </c>
      <c r="C110" s="81" t="s">
        <v>249</v>
      </c>
      <c r="D110" s="68" t="s">
        <v>194</v>
      </c>
      <c r="E110" s="68" t="s">
        <v>442</v>
      </c>
      <c r="F110" s="68">
        <v>1</v>
      </c>
      <c r="G110" s="68">
        <v>2</v>
      </c>
      <c r="H110" s="68">
        <v>3</v>
      </c>
      <c r="I110" s="68">
        <v>3</v>
      </c>
      <c r="J110" s="68">
        <v>2</v>
      </c>
      <c r="K110" s="70">
        <v>1.4530000000000001</v>
      </c>
      <c r="L110" s="70">
        <v>1.4259999999999999</v>
      </c>
      <c r="M110" s="71">
        <f t="shared" si="12"/>
        <v>-1.858224363386107E-2</v>
      </c>
      <c r="N110" s="68">
        <v>2</v>
      </c>
      <c r="O110" s="68">
        <v>2</v>
      </c>
      <c r="P110" s="68">
        <v>0</v>
      </c>
      <c r="Q110" s="72">
        <v>0</v>
      </c>
      <c r="R110" s="72">
        <v>250</v>
      </c>
      <c r="S110" s="72">
        <v>0</v>
      </c>
      <c r="T110" s="72">
        <v>0</v>
      </c>
      <c r="U110" s="72">
        <v>0</v>
      </c>
      <c r="V110" s="73">
        <f>SUM(Q110:U110)*'İşçilik Parametreleri'!$B$28/1000</f>
        <v>0.25</v>
      </c>
      <c r="W110" s="70">
        <f>SUMIF('Büküm Parçaları'!$A$2:$A$213,A110,'Büküm Parçaları'!$I$2:$I$213)</f>
        <v>6.5549999999999997</v>
      </c>
      <c r="X110" s="70">
        <f>(I110*'İşçilik Parametreleri'!$B$18+IF(L110&gt;'İşçilik Parametreleri'!$B$21,'İşçilik Parametreleri'!$B$20,'İşçilik Parametreleri'!$B$19)+N110*'İşçilik Parametreleri'!$B$22)*'İşçilik Parametreleri'!$B$23</f>
        <v>10.4125</v>
      </c>
      <c r="Y110" s="70">
        <f>(IF('İşçilik Parametreleri'!$B$27="Resme göre",(Q110*INDEX('İşçilik Parametreleri'!$F$16:$I$20,1,MATCH('İşçilik Parametreleri'!$B$26,{"Manuel","Robot","HTD","Lazer"},0))+R110*INDEX('İşçilik Parametreleri'!$F$16:$I$20,2,MATCH('İşçilik Parametreleri'!$B$26,{"Manuel","Robot","HTD","Lazer"},0))+S110*INDEX('İşçilik Parametreleri'!$F$16:$I$20,3,MATCH('İşçilik Parametreleri'!$B$26,{"Manuel","Robot","HTD","Lazer"},0))+T110*INDEX('İşçilik Parametreleri'!$F$16:$I$20,4,MATCH('İşçilik Parametreleri'!$B$26,{"Manuel","Robot","HTD","Lazer"},0))+U110*INDEX('İşçilik Parametreleri'!$F$16:$I$20,5,MATCH('İşçilik Parametreleri'!$B$26,{"Manuel","Robot","HTD","Lazer"},0))),SUM(Q110:U110)*INDEX('İşçilik Parametreleri'!$F$16:$I$20,MATCH(VALUE('İşçilik Parametreleri'!$B$27),'İşçilik Parametreleri'!$E$16:$E$20,0),MATCH('İşçilik Parametreleri'!$B$26,{"Manuel","Robot","HTD","Lazer"},0)))*'İşçilik Parametreleri'!$B$28/1000+O110*IF(OR('İşçilik Parametreleri'!$B$26="Robot",'İşçilik Parametreleri'!$B$26="HTD"),'İşçilik Parametreleri'!$B$30,'İşçilik Parametreleri'!$B$29))*'İşçilik Parametreleri'!$B$31</f>
        <v>4.75</v>
      </c>
      <c r="Z110" s="74">
        <f t="shared" si="13"/>
        <v>13.0305</v>
      </c>
      <c r="AA110" s="75" t="s">
        <v>86</v>
      </c>
      <c r="AB110" s="76">
        <v>10000</v>
      </c>
      <c r="AC110" s="77">
        <f>IF(AA110="Kataforez",N(AB110),IF(AA110="Yaş boya",'İşçilik Parametreleri'!$B$6/MAX(1,ROUND(IF(ISNUMBER(AB110),AB110,'İşçilik Parametreleri'!$B$7),0)),0))</f>
        <v>8.0000000000000002E-3</v>
      </c>
      <c r="AD110" s="78">
        <f>W110/100*'İşçilik Parametreleri'!$B$9+X110/100*'İşçilik Parametreleri'!$B$17+Y110/100*'İşçilik Parametreleri'!$B$25</f>
        <v>4.3434999999999997</v>
      </c>
      <c r="AE110" s="78">
        <f t="shared" si="14"/>
        <v>4.3514999999999997</v>
      </c>
      <c r="AF110" s="75">
        <v>10</v>
      </c>
      <c r="AG110" s="84">
        <f>AD110*AF110+IF(AA110="Kataforez",N(AB110)*AF110,IF(AA110="Yaş boya",ROUNDUP(AF110/MAX(1,ROUND(IF(ISNUMBER(AB110),AB110,'İşçilik Parametreleri'!$B$7),0)),0)*'İşçilik Parametreleri'!$B$6,0))</f>
        <v>123.435</v>
      </c>
      <c r="AH110" s="70">
        <f t="shared" si="15"/>
        <v>2.1717500000000003</v>
      </c>
    </row>
    <row r="111" spans="1:34" ht="15" customHeight="1" x14ac:dyDescent="0.25">
      <c r="A111" s="82" t="s">
        <v>548</v>
      </c>
      <c r="B111" s="68" t="s">
        <v>439</v>
      </c>
      <c r="C111" s="69" t="s">
        <v>250</v>
      </c>
      <c r="D111" s="68" t="s">
        <v>251</v>
      </c>
      <c r="E111" s="68" t="s">
        <v>442</v>
      </c>
      <c r="F111" s="68">
        <v>1</v>
      </c>
      <c r="G111" s="68">
        <v>2</v>
      </c>
      <c r="H111" s="68">
        <v>5</v>
      </c>
      <c r="I111" s="68">
        <v>5</v>
      </c>
      <c r="J111" s="68">
        <v>0</v>
      </c>
      <c r="K111" s="70">
        <v>15.193</v>
      </c>
      <c r="L111" s="70">
        <v>15.237</v>
      </c>
      <c r="M111" s="71">
        <f t="shared" si="12"/>
        <v>2.8960705588100101E-3</v>
      </c>
      <c r="N111" s="68">
        <v>4</v>
      </c>
      <c r="O111" s="68">
        <v>4</v>
      </c>
      <c r="P111" s="68">
        <v>0</v>
      </c>
      <c r="Q111" s="72">
        <v>0</v>
      </c>
      <c r="R111" s="72">
        <v>0</v>
      </c>
      <c r="S111" s="72">
        <v>0</v>
      </c>
      <c r="T111" s="72">
        <v>0</v>
      </c>
      <c r="U111" s="72">
        <v>760</v>
      </c>
      <c r="V111" s="73">
        <f>SUM(Q111:U111)*'İşçilik Parametreleri'!$B$28/1000</f>
        <v>0.76</v>
      </c>
      <c r="W111" s="70">
        <f>SUMIF('Büküm Parçaları'!$A$2:$A$213,A111,'Büküm Parçaları'!$I$2:$I$213)</f>
        <v>0</v>
      </c>
      <c r="X111" s="70">
        <f>(I111*'İşçilik Parametreleri'!$B$18+IF(L111&gt;'İşçilik Parametreleri'!$B$21,'İşçilik Parametreleri'!$B$20,'İşçilik Parametreleri'!$B$19)+N111*'İşçilik Parametreleri'!$B$22)*'İşçilik Parametreleri'!$B$23</f>
        <v>15.4125</v>
      </c>
      <c r="Y111" s="70">
        <f>(IF('İşçilik Parametreleri'!$B$27="Resme göre",(Q111*INDEX('İşçilik Parametreleri'!$F$16:$I$20,1,MATCH('İşçilik Parametreleri'!$B$26,{"Manuel","Robot","HTD","Lazer"},0))+R111*INDEX('İşçilik Parametreleri'!$F$16:$I$20,2,MATCH('İşçilik Parametreleri'!$B$26,{"Manuel","Robot","HTD","Lazer"},0))+S111*INDEX('İşçilik Parametreleri'!$F$16:$I$20,3,MATCH('İşçilik Parametreleri'!$B$26,{"Manuel","Robot","HTD","Lazer"},0))+T111*INDEX('İşçilik Parametreleri'!$F$16:$I$20,4,MATCH('İşçilik Parametreleri'!$B$26,{"Manuel","Robot","HTD","Lazer"},0))+U111*INDEX('İşçilik Parametreleri'!$F$16:$I$20,5,MATCH('İşçilik Parametreleri'!$B$26,{"Manuel","Robot","HTD","Lazer"},0))),SUM(Q111:U111)*INDEX('İşçilik Parametreleri'!$F$16:$I$20,MATCH(VALUE('İşçilik Parametreleri'!$B$27),'İşçilik Parametreleri'!$E$16:$E$20,0),MATCH('İşçilik Parametreleri'!$B$26,{"Manuel","Robot","HTD","Lazer"},0)))*'İşçilik Parametreleri'!$B$28/1000+O111*IF(OR('İşçilik Parametreleri'!$B$26="Robot",'İşçilik Parametreleri'!$B$26="HTD"),'İşçilik Parametreleri'!$B$30,'İşçilik Parametreleri'!$B$29))*'İşçilik Parametreleri'!$B$31</f>
        <v>27.56</v>
      </c>
      <c r="Z111" s="74">
        <f t="shared" si="13"/>
        <v>25.783499999999997</v>
      </c>
      <c r="AA111" s="75" t="s">
        <v>86</v>
      </c>
      <c r="AB111" s="76">
        <v>10000</v>
      </c>
      <c r="AC111" s="77">
        <f>IF(AA111="Kataforez",N(AB111),IF(AA111="Yaş boya",'İşçilik Parametreleri'!$B$6/MAX(1,ROUND(IF(ISNUMBER(AB111),AB111,'İşçilik Parametreleri'!$B$7),0)),0))</f>
        <v>8.0000000000000002E-3</v>
      </c>
      <c r="AD111" s="78">
        <f>W111/100*'İşçilik Parametreleri'!$B$9+X111/100*'İşçilik Parametreleri'!$B$17+Y111/100*'İşçilik Parametreleri'!$B$25</f>
        <v>8.5945</v>
      </c>
      <c r="AE111" s="78">
        <f t="shared" si="14"/>
        <v>8.6024999999999991</v>
      </c>
      <c r="AF111" s="75">
        <v>5</v>
      </c>
      <c r="AG111" s="84">
        <f>AD111*AF111+IF(AA111="Kataforez",N(AB111)*AF111,IF(AA111="Yaş boya",ROUNDUP(AF111/MAX(1,ROUND(IF(ISNUMBER(AB111),AB111,'İşçilik Parametreleri'!$B$7),0)),0)*'İşçilik Parametreleri'!$B$6,0))</f>
        <v>122.9725</v>
      </c>
      <c r="AH111" s="70">
        <f t="shared" si="15"/>
        <v>2.148625</v>
      </c>
    </row>
    <row r="112" spans="1:34" ht="15" customHeight="1" x14ac:dyDescent="0.25">
      <c r="A112" s="82" t="s">
        <v>549</v>
      </c>
      <c r="B112" s="80" t="s">
        <v>23</v>
      </c>
      <c r="C112" s="81" t="s">
        <v>146</v>
      </c>
      <c r="D112" s="68" t="s">
        <v>99</v>
      </c>
      <c r="E112" s="68" t="s">
        <v>442</v>
      </c>
      <c r="F112" s="68">
        <v>1</v>
      </c>
      <c r="G112" s="68">
        <v>2</v>
      </c>
      <c r="H112" s="68">
        <v>3</v>
      </c>
      <c r="I112" s="68">
        <v>3</v>
      </c>
      <c r="J112" s="68">
        <v>5</v>
      </c>
      <c r="K112" s="70">
        <v>2.8180000000000001</v>
      </c>
      <c r="L112" s="70">
        <v>2.746</v>
      </c>
      <c r="M112" s="71">
        <f t="shared" si="12"/>
        <v>-2.555003548616042E-2</v>
      </c>
      <c r="N112" s="68">
        <v>4</v>
      </c>
      <c r="O112" s="68">
        <v>4</v>
      </c>
      <c r="P112" s="68">
        <v>0</v>
      </c>
      <c r="Q112" s="72">
        <v>0</v>
      </c>
      <c r="R112" s="72">
        <v>500</v>
      </c>
      <c r="S112" s="72">
        <v>0</v>
      </c>
      <c r="T112" s="72">
        <v>0</v>
      </c>
      <c r="U112" s="72">
        <v>0</v>
      </c>
      <c r="V112" s="73">
        <f>SUM(Q112:U112)*'İşçilik Parametreleri'!$B$28/1000</f>
        <v>0.5</v>
      </c>
      <c r="W112" s="70">
        <f>SUMIF('Büküm Parçaları'!$A$2:$A$213,A112,'Büküm Parçaları'!$I$2:$I$213)</f>
        <v>18.515000000000001</v>
      </c>
      <c r="X112" s="70">
        <f>(I112*'İşçilik Parametreleri'!$B$18+IF(L112&gt;'İşçilik Parametreleri'!$B$21,'İşçilik Parametreleri'!$B$20,'İşçilik Parametreleri'!$B$19)+N112*'İşçilik Parametreleri'!$B$22)*'İşçilik Parametreleri'!$B$23</f>
        <v>12.9125</v>
      </c>
      <c r="Y112" s="70">
        <f>(IF('İşçilik Parametreleri'!$B$27="Resme göre",(Q112*INDEX('İşçilik Parametreleri'!$F$16:$I$20,1,MATCH('İşçilik Parametreleri'!$B$26,{"Manuel","Robot","HTD","Lazer"},0))+R112*INDEX('İşçilik Parametreleri'!$F$16:$I$20,2,MATCH('İşçilik Parametreleri'!$B$26,{"Manuel","Robot","HTD","Lazer"},0))+S112*INDEX('İşçilik Parametreleri'!$F$16:$I$20,3,MATCH('İşçilik Parametreleri'!$B$26,{"Manuel","Robot","HTD","Lazer"},0))+T112*INDEX('İşçilik Parametreleri'!$F$16:$I$20,4,MATCH('İşçilik Parametreleri'!$B$26,{"Manuel","Robot","HTD","Lazer"},0))+U112*INDEX('İşçilik Parametreleri'!$F$16:$I$20,5,MATCH('İşçilik Parametreleri'!$B$26,{"Manuel","Robot","HTD","Lazer"},0))),SUM(Q112:U112)*INDEX('İşçilik Parametreleri'!$F$16:$I$20,MATCH(VALUE('İşçilik Parametreleri'!$B$27),'İşçilik Parametreleri'!$E$16:$E$20,0),MATCH('İşçilik Parametreleri'!$B$26,{"Manuel","Robot","HTD","Lazer"},0)))*'İşçilik Parametreleri'!$B$28/1000+O112*IF(OR('İşçilik Parametreleri'!$B$26="Robot",'İşçilik Parametreleri'!$B$26="HTD"),'İşçilik Parametreleri'!$B$30,'İşçilik Parametreleri'!$B$29))*'İşçilik Parametreleri'!$B$31</f>
        <v>9.5</v>
      </c>
      <c r="Z112" s="74">
        <f t="shared" si="13"/>
        <v>24.5565</v>
      </c>
      <c r="AA112" s="75" t="s">
        <v>86</v>
      </c>
      <c r="AB112" s="76">
        <v>10000</v>
      </c>
      <c r="AC112" s="77">
        <f>IF(AA112="Kataforez",N(AB112),IF(AA112="Yaş boya",'İşçilik Parametreleri'!$B$6/MAX(1,ROUND(IF(ISNUMBER(AB112),AB112,'İşçilik Parametreleri'!$B$7),0)),0))</f>
        <v>8.0000000000000002E-3</v>
      </c>
      <c r="AD112" s="78">
        <f>W112/100*'İşçilik Parametreleri'!$B$9+X112/100*'İşçilik Parametreleri'!$B$17+Y112/100*'İşçilik Parametreleri'!$B$25</f>
        <v>8.1854999999999993</v>
      </c>
      <c r="AE112" s="78">
        <f t="shared" si="14"/>
        <v>8.1934999999999985</v>
      </c>
      <c r="AF112" s="75">
        <v>5</v>
      </c>
      <c r="AG112" s="84">
        <f>AD112*AF112+IF(AA112="Kataforez",N(AB112)*AF112,IF(AA112="Yaş boya",ROUNDUP(AF112/MAX(1,ROUND(IF(ISNUMBER(AB112),AB112,'İşçilik Parametreleri'!$B$7),0)),0)*'İşçilik Parametreleri'!$B$6,0))</f>
        <v>120.92749999999999</v>
      </c>
      <c r="AH112" s="70">
        <f t="shared" si="15"/>
        <v>2.0463750000000003</v>
      </c>
    </row>
    <row r="113" spans="1:34" ht="15" customHeight="1" x14ac:dyDescent="0.25">
      <c r="A113" s="82" t="s">
        <v>253</v>
      </c>
      <c r="B113" s="80" t="s">
        <v>23</v>
      </c>
      <c r="C113" s="81" t="s">
        <v>253</v>
      </c>
      <c r="D113" s="68" t="s">
        <v>99</v>
      </c>
      <c r="E113" s="68" t="s">
        <v>130</v>
      </c>
      <c r="F113" s="68">
        <v>1</v>
      </c>
      <c r="G113" s="68">
        <v>3</v>
      </c>
      <c r="H113" s="68">
        <v>3</v>
      </c>
      <c r="I113" s="68">
        <v>3</v>
      </c>
      <c r="J113" s="68">
        <v>0</v>
      </c>
      <c r="K113" s="70">
        <v>4.0270000000000001</v>
      </c>
      <c r="L113" s="70">
        <v>4.0270000000000001</v>
      </c>
      <c r="M113" s="71">
        <f t="shared" si="12"/>
        <v>0</v>
      </c>
      <c r="N113" s="68">
        <v>4</v>
      </c>
      <c r="O113" s="68">
        <v>4</v>
      </c>
      <c r="P113" s="68">
        <v>0</v>
      </c>
      <c r="Q113" s="72">
        <v>400</v>
      </c>
      <c r="R113" s="72">
        <v>0</v>
      </c>
      <c r="S113" s="72">
        <v>0</v>
      </c>
      <c r="T113" s="72">
        <v>0</v>
      </c>
      <c r="U113" s="72">
        <v>0</v>
      </c>
      <c r="V113" s="73">
        <f>SUM(Q113:U113)*'İşçilik Parametreleri'!$B$28/1000</f>
        <v>0.4</v>
      </c>
      <c r="W113" s="70">
        <f>SUMIF('Büküm Parçaları'!$A$2:$A$213,A113,'Büküm Parçaları'!$I$2:$I$213)</f>
        <v>0</v>
      </c>
      <c r="X113" s="70">
        <f>(I113*'İşçilik Parametreleri'!$B$18+IF(L113&gt;'İşçilik Parametreleri'!$B$21,'İşçilik Parametreleri'!$B$20,'İşçilik Parametreleri'!$B$19)+N113*'İşçilik Parametreleri'!$B$22)*'İşçilik Parametreleri'!$B$23</f>
        <v>12.9125</v>
      </c>
      <c r="Y113" s="70">
        <f>(IF('İşçilik Parametreleri'!$B$27="Resme göre",(Q113*INDEX('İşçilik Parametreleri'!$F$16:$I$20,1,MATCH('İşçilik Parametreleri'!$B$26,{"Manuel","Robot","HTD","Lazer"},0))+R113*INDEX('İşçilik Parametreleri'!$F$16:$I$20,2,MATCH('İşçilik Parametreleri'!$B$26,{"Manuel","Robot","HTD","Lazer"},0))+S113*INDEX('İşçilik Parametreleri'!$F$16:$I$20,3,MATCH('İşçilik Parametreleri'!$B$26,{"Manuel","Robot","HTD","Lazer"},0))+T113*INDEX('İşçilik Parametreleri'!$F$16:$I$20,4,MATCH('İşçilik Parametreleri'!$B$26,{"Manuel","Robot","HTD","Lazer"},0))+U113*INDEX('İşçilik Parametreleri'!$F$16:$I$20,5,MATCH('İşçilik Parametreleri'!$B$26,{"Manuel","Robot","HTD","Lazer"},0))),SUM(Q113:U113)*INDEX('İşçilik Parametreleri'!$F$16:$I$20,MATCH(VALUE('İşçilik Parametreleri'!$B$27),'İşçilik Parametreleri'!$E$16:$E$20,0),MATCH('İşçilik Parametreleri'!$B$26,{"Manuel","Robot","HTD","Lazer"},0)))*'İşçilik Parametreleri'!$B$28/1000+O113*IF(OR('İşçilik Parametreleri'!$B$26="Robot",'İşçilik Parametreleri'!$B$26="HTD"),'İşçilik Parametreleri'!$B$30,'İşçilik Parametreleri'!$B$29))*'İşçilik Parametreleri'!$B$31</f>
        <v>6.8</v>
      </c>
      <c r="Z113" s="74">
        <f t="shared" si="13"/>
        <v>11.827499999999999</v>
      </c>
      <c r="AA113" s="75" t="s">
        <v>124</v>
      </c>
      <c r="AB113" s="76"/>
      <c r="AC113" s="77">
        <f>IF(AA113="Kataforez",N(AB113),IF(AA113="Yaş boya",'İşçilik Parametreleri'!$B$6/MAX(1,ROUND(IF(ISNUMBER(AB113),AB113,'İşçilik Parametreleri'!$B$7),0)),0))</f>
        <v>0</v>
      </c>
      <c r="AD113" s="78">
        <f>W113/100*'İşçilik Parametreleri'!$B$9+X113/100*'İşçilik Parametreleri'!$B$17+Y113/100*'İşçilik Parametreleri'!$B$25</f>
        <v>3.9424999999999999</v>
      </c>
      <c r="AE113" s="78">
        <f t="shared" si="14"/>
        <v>3.9424999999999999</v>
      </c>
      <c r="AF113" s="75">
        <v>48</v>
      </c>
      <c r="AG113" s="84">
        <f>AD113*AF113+IF(AA113="Kataforez",N(AB113)*AF113,IF(AA113="Yaş boya",ROUNDUP(AF113/MAX(1,ROUND(IF(ISNUMBER(AB113),AB113,'İşçilik Parametreleri'!$B$7),0)),0)*'İşçilik Parametreleri'!$B$6,0))</f>
        <v>189.24</v>
      </c>
      <c r="AH113" s="70">
        <f t="shared" si="15"/>
        <v>9.4619999999999997</v>
      </c>
    </row>
    <row r="114" spans="1:34" ht="15" customHeight="1" x14ac:dyDescent="0.25">
      <c r="A114" s="82" t="s">
        <v>550</v>
      </c>
      <c r="B114" s="80" t="s">
        <v>23</v>
      </c>
      <c r="C114" s="81" t="s">
        <v>254</v>
      </c>
      <c r="D114" s="68" t="s">
        <v>255</v>
      </c>
      <c r="E114" s="68" t="s">
        <v>442</v>
      </c>
      <c r="F114" s="68">
        <v>1</v>
      </c>
      <c r="G114" s="68">
        <v>3</v>
      </c>
      <c r="H114" s="68">
        <v>2</v>
      </c>
      <c r="I114" s="68">
        <v>2</v>
      </c>
      <c r="J114" s="68">
        <v>2</v>
      </c>
      <c r="K114" s="70">
        <v>2.4449999999999998</v>
      </c>
      <c r="L114" s="70">
        <v>2.4300000000000002</v>
      </c>
      <c r="M114" s="71">
        <f t="shared" si="12"/>
        <v>-6.1349693251532443E-3</v>
      </c>
      <c r="N114" s="68">
        <v>2</v>
      </c>
      <c r="O114" s="68">
        <v>2</v>
      </c>
      <c r="P114" s="68">
        <v>0</v>
      </c>
      <c r="Q114" s="72">
        <v>250</v>
      </c>
      <c r="R114" s="72">
        <v>0</v>
      </c>
      <c r="S114" s="72">
        <v>0</v>
      </c>
      <c r="T114" s="72">
        <v>0</v>
      </c>
      <c r="U114" s="72">
        <v>0</v>
      </c>
      <c r="V114" s="73">
        <f>SUM(Q114:U114)*'İşçilik Parametreleri'!$B$28/1000</f>
        <v>0.25</v>
      </c>
      <c r="W114" s="70">
        <f>SUMIF('Büküm Parçaları'!$A$2:$A$213,A114,'Büküm Parçaları'!$I$2:$I$213)</f>
        <v>6.5549999999999997</v>
      </c>
      <c r="X114" s="70">
        <f>(I114*'İşçilik Parametreleri'!$B$18+IF(L114&gt;'İşçilik Parametreleri'!$B$21,'İşçilik Parametreleri'!$B$20,'İşçilik Parametreleri'!$B$19)+N114*'İşçilik Parametreleri'!$B$22)*'İşçilik Parametreleri'!$B$23</f>
        <v>9.1624999999999996</v>
      </c>
      <c r="Y114" s="70">
        <f>(IF('İşçilik Parametreleri'!$B$27="Resme göre",(Q114*INDEX('İşçilik Parametreleri'!$F$16:$I$20,1,MATCH('İşçilik Parametreleri'!$B$26,{"Manuel","Robot","HTD","Lazer"},0))+R114*INDEX('İşçilik Parametreleri'!$F$16:$I$20,2,MATCH('İşçilik Parametreleri'!$B$26,{"Manuel","Robot","HTD","Lazer"},0))+S114*INDEX('İşçilik Parametreleri'!$F$16:$I$20,3,MATCH('İşçilik Parametreleri'!$B$26,{"Manuel","Robot","HTD","Lazer"},0))+T114*INDEX('İşçilik Parametreleri'!$F$16:$I$20,4,MATCH('İşçilik Parametreleri'!$B$26,{"Manuel","Robot","HTD","Lazer"},0))+U114*INDEX('İşçilik Parametreleri'!$F$16:$I$20,5,MATCH('İşçilik Parametreleri'!$B$26,{"Manuel","Robot","HTD","Lazer"},0))),SUM(Q114:U114)*INDEX('İşçilik Parametreleri'!$F$16:$I$20,MATCH(VALUE('İşçilik Parametreleri'!$B$27),'İşçilik Parametreleri'!$E$16:$E$20,0),MATCH('İşçilik Parametreleri'!$B$26,{"Manuel","Robot","HTD","Lazer"},0)))*'İşçilik Parametreleri'!$B$28/1000+O114*IF(OR('İşçilik Parametreleri'!$B$26="Robot",'İşçilik Parametreleri'!$B$26="HTD"),'İşçilik Parametreleri'!$B$30,'İşçilik Parametreleri'!$B$29))*'İşçilik Parametreleri'!$B$31</f>
        <v>3.75</v>
      </c>
      <c r="Z114" s="74">
        <f t="shared" si="13"/>
        <v>11.6805</v>
      </c>
      <c r="AA114" s="75" t="s">
        <v>86</v>
      </c>
      <c r="AB114" s="76">
        <v>10000</v>
      </c>
      <c r="AC114" s="77">
        <f>IF(AA114="Kataforez",N(AB114),IF(AA114="Yaş boya",'İşçilik Parametreleri'!$B$6/MAX(1,ROUND(IF(ISNUMBER(AB114),AB114,'İşçilik Parametreleri'!$B$7),0)),0))</f>
        <v>8.0000000000000002E-3</v>
      </c>
      <c r="AD114" s="78">
        <f>W114/100*'İşçilik Parametreleri'!$B$9+X114/100*'İşçilik Parametreleri'!$B$17+Y114/100*'İşçilik Parametreleri'!$B$25</f>
        <v>3.8935</v>
      </c>
      <c r="AE114" s="78">
        <f t="shared" si="14"/>
        <v>3.9015</v>
      </c>
      <c r="AF114" s="75">
        <v>10</v>
      </c>
      <c r="AG114" s="84">
        <f>AD114*AF114+IF(AA114="Kataforez",N(AB114)*AF114,IF(AA114="Yaş boya",ROUNDUP(AF114/MAX(1,ROUND(IF(ISNUMBER(AB114),AB114,'İşçilik Parametreleri'!$B$7),0)),0)*'İşçilik Parametreleri'!$B$6,0))</f>
        <v>118.935</v>
      </c>
      <c r="AH114" s="70">
        <f t="shared" si="15"/>
        <v>1.9467500000000002</v>
      </c>
    </row>
    <row r="115" spans="1:34" ht="15" customHeight="1" x14ac:dyDescent="0.25">
      <c r="A115" s="82" t="s">
        <v>551</v>
      </c>
      <c r="B115" s="80" t="s">
        <v>23</v>
      </c>
      <c r="C115" s="81" t="s">
        <v>256</v>
      </c>
      <c r="D115" s="68" t="s">
        <v>119</v>
      </c>
      <c r="E115" s="68" t="s">
        <v>447</v>
      </c>
      <c r="F115" s="68">
        <v>1</v>
      </c>
      <c r="G115" s="68">
        <v>2</v>
      </c>
      <c r="H115" s="68">
        <v>6</v>
      </c>
      <c r="I115" s="68">
        <v>6</v>
      </c>
      <c r="J115" s="68">
        <v>0</v>
      </c>
      <c r="K115" s="70">
        <v>5.8630000000000004</v>
      </c>
      <c r="L115" s="70">
        <v>5.8570000000000002</v>
      </c>
      <c r="M115" s="71">
        <f t="shared" si="12"/>
        <v>-1.0233668770254524E-3</v>
      </c>
      <c r="N115" s="68">
        <v>8</v>
      </c>
      <c r="O115" s="68">
        <v>6</v>
      </c>
      <c r="P115" s="68">
        <v>2</v>
      </c>
      <c r="Q115" s="72">
        <v>0</v>
      </c>
      <c r="R115" s="72">
        <v>798</v>
      </c>
      <c r="S115" s="72">
        <v>0</v>
      </c>
      <c r="T115" s="72">
        <v>0</v>
      </c>
      <c r="U115" s="72">
        <v>0</v>
      </c>
      <c r="V115" s="73">
        <f>SUM(Q115:U115)*'İşçilik Parametreleri'!$B$28/1000</f>
        <v>0.79800000000000004</v>
      </c>
      <c r="W115" s="70">
        <f>SUMIF('Büküm Parçaları'!$A$2:$A$213,A115,'Büküm Parçaları'!$I$2:$I$213)</f>
        <v>0</v>
      </c>
      <c r="X115" s="70">
        <f>(I115*'İşçilik Parametreleri'!$B$18+IF(L115&gt;'İşçilik Parametreleri'!$B$21,'İşçilik Parametreleri'!$B$20,'İşçilik Parametreleri'!$B$19)+N115*'İşçilik Parametreleri'!$B$22)*'İşçilik Parametreleri'!$B$23</f>
        <v>21.662499999999998</v>
      </c>
      <c r="Y115" s="70">
        <f>(IF('İşçilik Parametreleri'!$B$27="Resme göre",(Q115*INDEX('İşçilik Parametreleri'!$F$16:$I$20,1,MATCH('İşçilik Parametreleri'!$B$26,{"Manuel","Robot","HTD","Lazer"},0))+R115*INDEX('İşçilik Parametreleri'!$F$16:$I$20,2,MATCH('İşçilik Parametreleri'!$B$26,{"Manuel","Robot","HTD","Lazer"},0))+S115*INDEX('İşçilik Parametreleri'!$F$16:$I$20,3,MATCH('İşçilik Parametreleri'!$B$26,{"Manuel","Robot","HTD","Lazer"},0))+T115*INDEX('İşçilik Parametreleri'!$F$16:$I$20,4,MATCH('İşçilik Parametreleri'!$B$26,{"Manuel","Robot","HTD","Lazer"},0))+U115*INDEX('İşçilik Parametreleri'!$F$16:$I$20,5,MATCH('İşçilik Parametreleri'!$B$26,{"Manuel","Robot","HTD","Lazer"},0))),SUM(Q115:U115)*INDEX('İşçilik Parametreleri'!$F$16:$I$20,MATCH(VALUE('İşçilik Parametreleri'!$B$27),'İşçilik Parametreleri'!$E$16:$E$20,0),MATCH('İşçilik Parametreleri'!$B$26,{"Manuel","Robot","HTD","Lazer"},0)))*'İşçilik Parametreleri'!$B$28/1000+O115*IF(OR('İşçilik Parametreleri'!$B$26="Robot",'İşçilik Parametreleri'!$B$26="HTD"),'İşçilik Parametreleri'!$B$30,'İşçilik Parametreleri'!$B$29))*'İşçilik Parametreleri'!$B$31</f>
        <v>14.778</v>
      </c>
      <c r="Z115" s="74">
        <f t="shared" si="13"/>
        <v>21.8643</v>
      </c>
      <c r="AA115" s="75" t="s">
        <v>86</v>
      </c>
      <c r="AB115" s="76">
        <v>10000</v>
      </c>
      <c r="AC115" s="77">
        <f>IF(AA115="Kataforez",N(AB115),IF(AA115="Yaş boya",'İşçilik Parametreleri'!$B$6/MAX(1,ROUND(IF(ISNUMBER(AB115),AB115,'İşçilik Parametreleri'!$B$7),0)),0))</f>
        <v>8.0000000000000002E-3</v>
      </c>
      <c r="AD115" s="78">
        <f>W115/100*'İşçilik Parametreleri'!$B$9+X115/100*'İşçilik Parametreleri'!$B$17+Y115/100*'İşçilik Parametreleri'!$B$25</f>
        <v>7.2881</v>
      </c>
      <c r="AE115" s="78">
        <f t="shared" si="14"/>
        <v>7.2961</v>
      </c>
      <c r="AF115" s="75">
        <v>5</v>
      </c>
      <c r="AG115" s="84">
        <f>AD115*AF115+IF(AA115="Kataforez",N(AB115)*AF115,IF(AA115="Yaş boya",ROUNDUP(AF115/MAX(1,ROUND(IF(ISNUMBER(AB115),AB115,'İşçilik Parametreleri'!$B$7),0)),0)*'İşçilik Parametreleri'!$B$6,0))</f>
        <v>116.4405</v>
      </c>
      <c r="AH115" s="70">
        <f t="shared" si="15"/>
        <v>1.8220249999999998</v>
      </c>
    </row>
    <row r="116" spans="1:34" ht="15" customHeight="1" x14ac:dyDescent="0.25">
      <c r="A116" s="82" t="s">
        <v>552</v>
      </c>
      <c r="B116" s="80" t="s">
        <v>23</v>
      </c>
      <c r="C116" s="81" t="s">
        <v>258</v>
      </c>
      <c r="D116" s="68" t="s">
        <v>99</v>
      </c>
      <c r="E116" s="68" t="s">
        <v>442</v>
      </c>
      <c r="F116" s="68">
        <v>1</v>
      </c>
      <c r="G116" s="68">
        <v>2</v>
      </c>
      <c r="H116" s="68">
        <v>3</v>
      </c>
      <c r="I116" s="68">
        <v>3</v>
      </c>
      <c r="J116" s="68">
        <v>5</v>
      </c>
      <c r="K116" s="70">
        <v>2.1320000000000001</v>
      </c>
      <c r="L116" s="70">
        <v>2.1320000000000001</v>
      </c>
      <c r="M116" s="71">
        <f t="shared" si="12"/>
        <v>0</v>
      </c>
      <c r="N116" s="68">
        <v>2</v>
      </c>
      <c r="O116" s="68">
        <v>2</v>
      </c>
      <c r="P116" s="68">
        <v>0</v>
      </c>
      <c r="Q116" s="72">
        <v>280</v>
      </c>
      <c r="R116" s="72">
        <v>0</v>
      </c>
      <c r="S116" s="72">
        <v>0</v>
      </c>
      <c r="T116" s="72">
        <v>0</v>
      </c>
      <c r="U116" s="72">
        <v>0</v>
      </c>
      <c r="V116" s="73">
        <f>SUM(Q116:U116)*'İşçilik Parametreleri'!$B$28/1000</f>
        <v>0.28000000000000003</v>
      </c>
      <c r="W116" s="70">
        <f>SUMIF('Büküm Parçaları'!$A$2:$A$213,A116,'Büküm Parçaları'!$I$2:$I$213)</f>
        <v>18.514999999999997</v>
      </c>
      <c r="X116" s="70">
        <f>(I116*'İşçilik Parametreleri'!$B$18+IF(L116&gt;'İşçilik Parametreleri'!$B$21,'İşçilik Parametreleri'!$B$20,'İşçilik Parametreleri'!$B$19)+N116*'İşçilik Parametreleri'!$B$22)*'İşçilik Parametreleri'!$B$23</f>
        <v>10.4125</v>
      </c>
      <c r="Y116" s="70">
        <f>(IF('İşçilik Parametreleri'!$B$27="Resme göre",(Q116*INDEX('İşçilik Parametreleri'!$F$16:$I$20,1,MATCH('İşçilik Parametreleri'!$B$26,{"Manuel","Robot","HTD","Lazer"},0))+R116*INDEX('İşçilik Parametreleri'!$F$16:$I$20,2,MATCH('İşçilik Parametreleri'!$B$26,{"Manuel","Robot","HTD","Lazer"},0))+S116*INDEX('İşçilik Parametreleri'!$F$16:$I$20,3,MATCH('İşçilik Parametreleri'!$B$26,{"Manuel","Robot","HTD","Lazer"},0))+T116*INDEX('İşçilik Parametreleri'!$F$16:$I$20,4,MATCH('İşçilik Parametreleri'!$B$26,{"Manuel","Robot","HTD","Lazer"},0))+U116*INDEX('İşçilik Parametreleri'!$F$16:$I$20,5,MATCH('İşçilik Parametreleri'!$B$26,{"Manuel","Robot","HTD","Lazer"},0))),SUM(Q116:U116)*INDEX('İşçilik Parametreleri'!$F$16:$I$20,MATCH(VALUE('İşçilik Parametreleri'!$B$27),'İşçilik Parametreleri'!$E$16:$E$20,0),MATCH('İşçilik Parametreleri'!$B$26,{"Manuel","Robot","HTD","Lazer"},0)))*'İşçilik Parametreleri'!$B$28/1000+O116*IF(OR('İşçilik Parametreleri'!$B$26="Robot",'İşçilik Parametreleri'!$B$26="HTD"),'İşçilik Parametreleri'!$B$30,'İşçilik Parametreleri'!$B$29))*'İşçilik Parametreleri'!$B$31</f>
        <v>3.96</v>
      </c>
      <c r="Z116" s="74">
        <f t="shared" si="13"/>
        <v>19.732499999999998</v>
      </c>
      <c r="AA116" s="75" t="s">
        <v>86</v>
      </c>
      <c r="AB116" s="76">
        <v>10000</v>
      </c>
      <c r="AC116" s="77">
        <f>IF(AA116="Kataforez",N(AB116),IF(AA116="Yaş boya",'İşçilik Parametreleri'!$B$6/MAX(1,ROUND(IF(ISNUMBER(AB116),AB116,'İşçilik Parametreleri'!$B$7),0)),0))</f>
        <v>8.0000000000000002E-3</v>
      </c>
      <c r="AD116" s="78">
        <f>W116/100*'İşçilik Parametreleri'!$B$9+X116/100*'İşçilik Parametreleri'!$B$17+Y116/100*'İşçilik Parametreleri'!$B$25</f>
        <v>6.5774999999999988</v>
      </c>
      <c r="AE116" s="78">
        <f t="shared" si="14"/>
        <v>6.5854999999999988</v>
      </c>
      <c r="AF116" s="75">
        <v>5</v>
      </c>
      <c r="AG116" s="84">
        <f>AD116*AF116+IF(AA116="Kataforez",N(AB116)*AF116,IF(AA116="Yaş boya",ROUNDUP(AF116/MAX(1,ROUND(IF(ISNUMBER(AB116),AB116,'İşçilik Parametreleri'!$B$7),0)),0)*'İşçilik Parametreleri'!$B$6,0))</f>
        <v>112.88749999999999</v>
      </c>
      <c r="AH116" s="70">
        <f t="shared" si="15"/>
        <v>1.6443749999999997</v>
      </c>
    </row>
    <row r="117" spans="1:34" ht="15" customHeight="1" x14ac:dyDescent="0.25">
      <c r="A117" s="82" t="s">
        <v>553</v>
      </c>
      <c r="B117" s="80" t="s">
        <v>23</v>
      </c>
      <c r="C117" s="81" t="s">
        <v>259</v>
      </c>
      <c r="D117" s="68" t="s">
        <v>117</v>
      </c>
      <c r="E117" s="68" t="s">
        <v>442</v>
      </c>
      <c r="F117" s="68">
        <v>1</v>
      </c>
      <c r="G117" s="68">
        <v>2</v>
      </c>
      <c r="H117" s="68">
        <v>3</v>
      </c>
      <c r="I117" s="68">
        <v>3</v>
      </c>
      <c r="J117" s="68">
        <v>5</v>
      </c>
      <c r="K117" s="70">
        <v>2.1320000000000001</v>
      </c>
      <c r="L117" s="70">
        <v>2.1320000000000001</v>
      </c>
      <c r="M117" s="71">
        <f t="shared" si="12"/>
        <v>0</v>
      </c>
      <c r="N117" s="68">
        <v>2</v>
      </c>
      <c r="O117" s="68">
        <v>2</v>
      </c>
      <c r="P117" s="68">
        <v>0</v>
      </c>
      <c r="Q117" s="72">
        <v>280</v>
      </c>
      <c r="R117" s="72">
        <v>0</v>
      </c>
      <c r="S117" s="72">
        <v>0</v>
      </c>
      <c r="T117" s="72">
        <v>0</v>
      </c>
      <c r="U117" s="72">
        <v>0</v>
      </c>
      <c r="V117" s="73">
        <f>SUM(Q117:U117)*'İşçilik Parametreleri'!$B$28/1000</f>
        <v>0.28000000000000003</v>
      </c>
      <c r="W117" s="70">
        <f>SUMIF('Büküm Parçaları'!$A$2:$A$213,A117,'Büküm Parçaları'!$I$2:$I$213)</f>
        <v>18.514999999999997</v>
      </c>
      <c r="X117" s="70">
        <f>(I117*'İşçilik Parametreleri'!$B$18+IF(L117&gt;'İşçilik Parametreleri'!$B$21,'İşçilik Parametreleri'!$B$20,'İşçilik Parametreleri'!$B$19)+N117*'İşçilik Parametreleri'!$B$22)*'İşçilik Parametreleri'!$B$23</f>
        <v>10.4125</v>
      </c>
      <c r="Y117" s="70">
        <f>(IF('İşçilik Parametreleri'!$B$27="Resme göre",(Q117*INDEX('İşçilik Parametreleri'!$F$16:$I$20,1,MATCH('İşçilik Parametreleri'!$B$26,{"Manuel","Robot","HTD","Lazer"},0))+R117*INDEX('İşçilik Parametreleri'!$F$16:$I$20,2,MATCH('İşçilik Parametreleri'!$B$26,{"Manuel","Robot","HTD","Lazer"},0))+S117*INDEX('İşçilik Parametreleri'!$F$16:$I$20,3,MATCH('İşçilik Parametreleri'!$B$26,{"Manuel","Robot","HTD","Lazer"},0))+T117*INDEX('İşçilik Parametreleri'!$F$16:$I$20,4,MATCH('İşçilik Parametreleri'!$B$26,{"Manuel","Robot","HTD","Lazer"},0))+U117*INDEX('İşçilik Parametreleri'!$F$16:$I$20,5,MATCH('İşçilik Parametreleri'!$B$26,{"Manuel","Robot","HTD","Lazer"},0))),SUM(Q117:U117)*INDEX('İşçilik Parametreleri'!$F$16:$I$20,MATCH(VALUE('İşçilik Parametreleri'!$B$27),'İşçilik Parametreleri'!$E$16:$E$20,0),MATCH('İşçilik Parametreleri'!$B$26,{"Manuel","Robot","HTD","Lazer"},0)))*'İşçilik Parametreleri'!$B$28/1000+O117*IF(OR('İşçilik Parametreleri'!$B$26="Robot",'İşçilik Parametreleri'!$B$26="HTD"),'İşçilik Parametreleri'!$B$30,'İşçilik Parametreleri'!$B$29))*'İşçilik Parametreleri'!$B$31</f>
        <v>3.96</v>
      </c>
      <c r="Z117" s="74">
        <f t="shared" si="13"/>
        <v>19.732499999999998</v>
      </c>
      <c r="AA117" s="75" t="s">
        <v>86</v>
      </c>
      <c r="AB117" s="76">
        <v>10000</v>
      </c>
      <c r="AC117" s="77">
        <f>IF(AA117="Kataforez",N(AB117),IF(AA117="Yaş boya",'İşçilik Parametreleri'!$B$6/MAX(1,ROUND(IF(ISNUMBER(AB117),AB117,'İşçilik Parametreleri'!$B$7),0)),0))</f>
        <v>8.0000000000000002E-3</v>
      </c>
      <c r="AD117" s="78">
        <f>W117/100*'İşçilik Parametreleri'!$B$9+X117/100*'İşçilik Parametreleri'!$B$17+Y117/100*'İşçilik Parametreleri'!$B$25</f>
        <v>6.5774999999999988</v>
      </c>
      <c r="AE117" s="78">
        <f t="shared" si="14"/>
        <v>6.5854999999999988</v>
      </c>
      <c r="AF117" s="75">
        <v>5</v>
      </c>
      <c r="AG117" s="84">
        <f>AD117*AF117+IF(AA117="Kataforez",N(AB117)*AF117,IF(AA117="Yaş boya",ROUNDUP(AF117/MAX(1,ROUND(IF(ISNUMBER(AB117),AB117,'İşçilik Parametreleri'!$B$7),0)),0)*'İşçilik Parametreleri'!$B$6,0))</f>
        <v>112.88749999999999</v>
      </c>
      <c r="AH117" s="70">
        <f t="shared" si="15"/>
        <v>1.6443749999999997</v>
      </c>
    </row>
    <row r="118" spans="1:34" ht="15" customHeight="1" x14ac:dyDescent="0.25">
      <c r="A118" s="82" t="s">
        <v>554</v>
      </c>
      <c r="B118" s="80" t="s">
        <v>23</v>
      </c>
      <c r="C118" s="81" t="s">
        <v>198</v>
      </c>
      <c r="D118" s="68" t="s">
        <v>139</v>
      </c>
      <c r="E118" s="68" t="s">
        <v>447</v>
      </c>
      <c r="F118" s="68">
        <v>1</v>
      </c>
      <c r="G118" s="68">
        <v>3</v>
      </c>
      <c r="H118" s="68">
        <v>3</v>
      </c>
      <c r="I118" s="68">
        <v>3</v>
      </c>
      <c r="J118" s="68">
        <v>0</v>
      </c>
      <c r="K118" s="70">
        <v>0.747</v>
      </c>
      <c r="L118" s="70">
        <v>0.747</v>
      </c>
      <c r="M118" s="71">
        <f t="shared" si="12"/>
        <v>0</v>
      </c>
      <c r="N118" s="68">
        <v>4</v>
      </c>
      <c r="O118" s="68">
        <v>4</v>
      </c>
      <c r="P118" s="68">
        <v>0</v>
      </c>
      <c r="Q118" s="72">
        <v>120</v>
      </c>
      <c r="R118" s="72">
        <v>0</v>
      </c>
      <c r="S118" s="72">
        <v>0</v>
      </c>
      <c r="T118" s="72">
        <v>0</v>
      </c>
      <c r="U118" s="72">
        <v>0</v>
      </c>
      <c r="V118" s="73">
        <f>SUM(Q118:U118)*'İşçilik Parametreleri'!$B$28/1000</f>
        <v>0.12</v>
      </c>
      <c r="W118" s="70">
        <f>SUMIF('Büküm Parçaları'!$A$2:$A$213,A118,'Büküm Parçaları'!$I$2:$I$213)</f>
        <v>0</v>
      </c>
      <c r="X118" s="70">
        <f>(I118*'İşçilik Parametreleri'!$B$18+IF(L118&gt;'İşçilik Parametreleri'!$B$21,'İşçilik Parametreleri'!$B$20,'İşçilik Parametreleri'!$B$19)+N118*'İşçilik Parametreleri'!$B$22)*'İşçilik Parametreleri'!$B$23</f>
        <v>12.9125</v>
      </c>
      <c r="Y118" s="70">
        <f>(IF('İşçilik Parametreleri'!$B$27="Resme göre",(Q118*INDEX('İşçilik Parametreleri'!$F$16:$I$20,1,MATCH('İşçilik Parametreleri'!$B$26,{"Manuel","Robot","HTD","Lazer"},0))+R118*INDEX('İşçilik Parametreleri'!$F$16:$I$20,2,MATCH('İşçilik Parametreleri'!$B$26,{"Manuel","Robot","HTD","Lazer"},0))+S118*INDEX('İşçilik Parametreleri'!$F$16:$I$20,3,MATCH('İşçilik Parametreleri'!$B$26,{"Manuel","Robot","HTD","Lazer"},0))+T118*INDEX('İşçilik Parametreleri'!$F$16:$I$20,4,MATCH('İşçilik Parametreleri'!$B$26,{"Manuel","Robot","HTD","Lazer"},0))+U118*INDEX('İşçilik Parametreleri'!$F$16:$I$20,5,MATCH('İşçilik Parametreleri'!$B$26,{"Manuel","Robot","HTD","Lazer"},0))),SUM(Q118:U118)*INDEX('İşçilik Parametreleri'!$F$16:$I$20,MATCH(VALUE('İşçilik Parametreleri'!$B$27),'İşçilik Parametreleri'!$E$16:$E$20,0),MATCH('İşçilik Parametreleri'!$B$26,{"Manuel","Robot","HTD","Lazer"},0)))*'İşçilik Parametreleri'!$B$28/1000+O118*IF(OR('İşçilik Parametreleri'!$B$26="Robot",'İşçilik Parametreleri'!$B$26="HTD"),'İşçilik Parametreleri'!$B$30,'İşçilik Parametreleri'!$B$29))*'İşçilik Parametreleri'!$B$31</f>
        <v>4.84</v>
      </c>
      <c r="Z118" s="74">
        <f t="shared" si="13"/>
        <v>10.651499999999999</v>
      </c>
      <c r="AA118" s="75" t="s">
        <v>86</v>
      </c>
      <c r="AB118" s="76">
        <v>10000</v>
      </c>
      <c r="AC118" s="77">
        <f>IF(AA118="Kataforez",N(AB118),IF(AA118="Yaş boya",'İşçilik Parametreleri'!$B$6/MAX(1,ROUND(IF(ISNUMBER(AB118),AB118,'İşçilik Parametreleri'!$B$7),0)),0))</f>
        <v>8.0000000000000002E-3</v>
      </c>
      <c r="AD118" s="78">
        <f>W118/100*'İşçilik Parametreleri'!$B$9+X118/100*'İşçilik Parametreleri'!$B$17+Y118/100*'İşçilik Parametreleri'!$B$25</f>
        <v>3.5504999999999995</v>
      </c>
      <c r="AE118" s="78">
        <f t="shared" si="14"/>
        <v>3.5584999999999996</v>
      </c>
      <c r="AF118" s="75">
        <v>9</v>
      </c>
      <c r="AG118" s="84">
        <f>AD118*AF118+IF(AA118="Kataforez",N(AB118)*AF118,IF(AA118="Yaş boya",ROUNDUP(AF118/MAX(1,ROUND(IF(ISNUMBER(AB118),AB118,'İşçilik Parametreleri'!$B$7),0)),0)*'İşçilik Parametreleri'!$B$6,0))</f>
        <v>111.9545</v>
      </c>
      <c r="AH118" s="70">
        <f t="shared" si="15"/>
        <v>1.5977249999999998</v>
      </c>
    </row>
    <row r="119" spans="1:34" ht="15" customHeight="1" x14ac:dyDescent="0.25">
      <c r="A119" s="82" t="s">
        <v>555</v>
      </c>
      <c r="B119" s="80" t="s">
        <v>23</v>
      </c>
      <c r="C119" s="81" t="s">
        <v>260</v>
      </c>
      <c r="D119" s="68" t="s">
        <v>107</v>
      </c>
      <c r="E119" s="68" t="s">
        <v>442</v>
      </c>
      <c r="F119" s="68">
        <v>1</v>
      </c>
      <c r="G119" s="68">
        <v>3</v>
      </c>
      <c r="H119" s="68">
        <v>2</v>
      </c>
      <c r="I119" s="68">
        <v>2</v>
      </c>
      <c r="J119" s="68">
        <v>0</v>
      </c>
      <c r="K119" s="70"/>
      <c r="L119" s="70">
        <v>2.7389999999999999</v>
      </c>
      <c r="M119" s="71" t="str">
        <f t="shared" si="12"/>
        <v/>
      </c>
      <c r="N119" s="68">
        <v>1</v>
      </c>
      <c r="O119" s="68">
        <v>1</v>
      </c>
      <c r="P119" s="68">
        <v>0</v>
      </c>
      <c r="Q119" s="72">
        <v>330</v>
      </c>
      <c r="R119" s="72">
        <v>0</v>
      </c>
      <c r="S119" s="72">
        <v>0</v>
      </c>
      <c r="T119" s="72">
        <v>0</v>
      </c>
      <c r="U119" s="72">
        <v>0</v>
      </c>
      <c r="V119" s="73">
        <f>SUM(Q119:U119)*'İşçilik Parametreleri'!$B$28/1000</f>
        <v>0.33</v>
      </c>
      <c r="W119" s="70">
        <f>SUMIF('Büküm Parçaları'!$A$2:$A$213,A119,'Büküm Parçaları'!$I$2:$I$213)</f>
        <v>0</v>
      </c>
      <c r="X119" s="70">
        <f>(I119*'İşçilik Parametreleri'!$B$18+IF(L119&gt;'İşçilik Parametreleri'!$B$21,'İşçilik Parametreleri'!$B$20,'İşçilik Parametreleri'!$B$19)+N119*'İşçilik Parametreleri'!$B$22)*'İşçilik Parametreleri'!$B$23</f>
        <v>7.9124999999999996</v>
      </c>
      <c r="Y119" s="70">
        <f>(IF('İşçilik Parametreleri'!$B$27="Resme göre",(Q119*INDEX('İşçilik Parametreleri'!$F$16:$I$20,1,MATCH('İşçilik Parametreleri'!$B$26,{"Manuel","Robot","HTD","Lazer"},0))+R119*INDEX('İşçilik Parametreleri'!$F$16:$I$20,2,MATCH('İşçilik Parametreleri'!$B$26,{"Manuel","Robot","HTD","Lazer"},0))+S119*INDEX('İşçilik Parametreleri'!$F$16:$I$20,3,MATCH('İşçilik Parametreleri'!$B$26,{"Manuel","Robot","HTD","Lazer"},0))+T119*INDEX('İşçilik Parametreleri'!$F$16:$I$20,4,MATCH('İşçilik Parametreleri'!$B$26,{"Manuel","Robot","HTD","Lazer"},0))+U119*INDEX('İşçilik Parametreleri'!$F$16:$I$20,5,MATCH('İşçilik Parametreleri'!$B$26,{"Manuel","Robot","HTD","Lazer"},0))),SUM(Q119:U119)*INDEX('İşçilik Parametreleri'!$F$16:$I$20,MATCH(VALUE('İşçilik Parametreleri'!$B$27),'İşçilik Parametreleri'!$E$16:$E$20,0),MATCH('İşçilik Parametreleri'!$B$26,{"Manuel","Robot","HTD","Lazer"},0)))*'İşçilik Parametreleri'!$B$28/1000+O119*IF(OR('İşçilik Parametreleri'!$B$26="Robot",'İşçilik Parametreleri'!$B$26="HTD"),'İşçilik Parametreleri'!$B$30,'İşçilik Parametreleri'!$B$29))*'İşçilik Parametreleri'!$B$31</f>
        <v>3.31</v>
      </c>
      <c r="Z119" s="74">
        <f t="shared" si="13"/>
        <v>6.7335000000000003</v>
      </c>
      <c r="AA119" s="75" t="s">
        <v>86</v>
      </c>
      <c r="AB119" s="76">
        <v>10000</v>
      </c>
      <c r="AC119" s="77">
        <f>IF(AA119="Kataforez",N(AB119),IF(AA119="Yaş boya",'İşçilik Parametreleri'!$B$6/MAX(1,ROUND(IF(ISNUMBER(AB119),AB119,'İşçilik Parametreleri'!$B$7),0)),0))</f>
        <v>8.0000000000000002E-3</v>
      </c>
      <c r="AD119" s="78">
        <f>W119/100*'İşçilik Parametreleri'!$B$9+X119/100*'İşçilik Parametreleri'!$B$17+Y119/100*'İşçilik Parametreleri'!$B$25</f>
        <v>2.2444999999999999</v>
      </c>
      <c r="AE119" s="78">
        <f t="shared" si="14"/>
        <v>2.2524999999999999</v>
      </c>
      <c r="AF119" s="75">
        <v>13</v>
      </c>
      <c r="AG119" s="84">
        <f>AD119*AF119+IF(AA119="Kataforez",N(AB119)*AF119,IF(AA119="Yaş boya",ROUNDUP(AF119/MAX(1,ROUND(IF(ISNUMBER(AB119),AB119,'İşçilik Parametreleri'!$B$7),0)),0)*'İşçilik Parametreleri'!$B$6,0))</f>
        <v>109.1785</v>
      </c>
      <c r="AH119" s="70">
        <f t="shared" si="15"/>
        <v>1.458925</v>
      </c>
    </row>
    <row r="120" spans="1:34" ht="15" customHeight="1" x14ac:dyDescent="0.25">
      <c r="A120" s="82" t="s">
        <v>556</v>
      </c>
      <c r="B120" s="80" t="s">
        <v>23</v>
      </c>
      <c r="C120" s="81" t="s">
        <v>262</v>
      </c>
      <c r="D120" s="68" t="s">
        <v>156</v>
      </c>
      <c r="E120" s="68" t="s">
        <v>447</v>
      </c>
      <c r="F120" s="68">
        <v>1</v>
      </c>
      <c r="G120" s="68">
        <v>2</v>
      </c>
      <c r="H120" s="68">
        <v>4</v>
      </c>
      <c r="I120" s="68">
        <v>4</v>
      </c>
      <c r="J120" s="68">
        <v>0</v>
      </c>
      <c r="K120" s="70">
        <v>6.1740000000000004</v>
      </c>
      <c r="L120" s="70">
        <v>6.0919999999999996</v>
      </c>
      <c r="M120" s="71">
        <f t="shared" si="12"/>
        <v>-1.3281503077421564E-2</v>
      </c>
      <c r="N120" s="68">
        <v>4</v>
      </c>
      <c r="O120" s="68">
        <v>4</v>
      </c>
      <c r="P120" s="68">
        <v>0</v>
      </c>
      <c r="Q120" s="72">
        <v>0</v>
      </c>
      <c r="R120" s="72">
        <v>800</v>
      </c>
      <c r="S120" s="72">
        <v>0</v>
      </c>
      <c r="T120" s="72">
        <v>0</v>
      </c>
      <c r="U120" s="72">
        <v>0</v>
      </c>
      <c r="V120" s="73">
        <f>SUM(Q120:U120)*'İşçilik Parametreleri'!$B$28/1000</f>
        <v>0.8</v>
      </c>
      <c r="W120" s="70">
        <f>SUMIF('Büküm Parçaları'!$A$2:$A$213,A120,'Büküm Parçaları'!$I$2:$I$213)</f>
        <v>0</v>
      </c>
      <c r="X120" s="70">
        <f>(I120*'İşçilik Parametreleri'!$B$18+IF(L120&gt;'İşçilik Parametreleri'!$B$21,'İşçilik Parametreleri'!$B$20,'İşçilik Parametreleri'!$B$19)+N120*'İşçilik Parametreleri'!$B$22)*'İşçilik Parametreleri'!$B$23</f>
        <v>14.1625</v>
      </c>
      <c r="Y120" s="70">
        <f>(IF('İşçilik Parametreleri'!$B$27="Resme göre",(Q120*INDEX('İşçilik Parametreleri'!$F$16:$I$20,1,MATCH('İşçilik Parametreleri'!$B$26,{"Manuel","Robot","HTD","Lazer"},0))+R120*INDEX('İşçilik Parametreleri'!$F$16:$I$20,2,MATCH('İşçilik Parametreleri'!$B$26,{"Manuel","Robot","HTD","Lazer"},0))+S120*INDEX('İşçilik Parametreleri'!$F$16:$I$20,3,MATCH('İşçilik Parametreleri'!$B$26,{"Manuel","Robot","HTD","Lazer"},0))+T120*INDEX('İşçilik Parametreleri'!$F$16:$I$20,4,MATCH('İşçilik Parametreleri'!$B$26,{"Manuel","Robot","HTD","Lazer"},0))+U120*INDEX('İşçilik Parametreleri'!$F$16:$I$20,5,MATCH('İşçilik Parametreleri'!$B$26,{"Manuel","Robot","HTD","Lazer"},0))),SUM(Q120:U120)*INDEX('İşçilik Parametreleri'!$F$16:$I$20,MATCH(VALUE('İşçilik Parametreleri'!$B$27),'İşçilik Parametreleri'!$E$16:$E$20,0),MATCH('İşçilik Parametreleri'!$B$26,{"Manuel","Robot","HTD","Lazer"},0)))*'İşçilik Parametreleri'!$B$28/1000+O120*IF(OR('İşçilik Parametreleri'!$B$26="Robot",'İşçilik Parametreleri'!$B$26="HTD"),'İşçilik Parametreleri'!$B$30,'İşçilik Parametreleri'!$B$29))*'İşçilik Parametreleri'!$B$31</f>
        <v>12.8</v>
      </c>
      <c r="Z120" s="74">
        <f t="shared" si="13"/>
        <v>16.177499999999998</v>
      </c>
      <c r="AA120" s="75" t="s">
        <v>86</v>
      </c>
      <c r="AB120" s="76">
        <v>10000</v>
      </c>
      <c r="AC120" s="77">
        <f>IF(AA120="Kataforez",N(AB120),IF(AA120="Yaş boya",'İşçilik Parametreleri'!$B$6/MAX(1,ROUND(IF(ISNUMBER(AB120),AB120,'İşçilik Parametreleri'!$B$7),0)),0))</f>
        <v>8.0000000000000002E-3</v>
      </c>
      <c r="AD120" s="78">
        <f>W120/100*'İşçilik Parametreleri'!$B$9+X120/100*'İşçilik Parametreleri'!$B$17+Y120/100*'İşçilik Parametreleri'!$B$25</f>
        <v>5.3925000000000001</v>
      </c>
      <c r="AE120" s="78">
        <f t="shared" si="14"/>
        <v>5.4005000000000001</v>
      </c>
      <c r="AF120" s="75">
        <v>5</v>
      </c>
      <c r="AG120" s="84">
        <f>AD120*AF120+IF(AA120="Kataforez",N(AB120)*AF120,IF(AA120="Yaş boya",ROUNDUP(AF120/MAX(1,ROUND(IF(ISNUMBER(AB120),AB120,'İşçilik Parametreleri'!$B$7),0)),0)*'İşçilik Parametreleri'!$B$6,0))</f>
        <v>106.96250000000001</v>
      </c>
      <c r="AH120" s="70">
        <f t="shared" si="15"/>
        <v>1.348125</v>
      </c>
    </row>
    <row r="121" spans="1:34" ht="15" customHeight="1" x14ac:dyDescent="0.25">
      <c r="A121" s="82" t="s">
        <v>557</v>
      </c>
      <c r="B121" s="80" t="s">
        <v>23</v>
      </c>
      <c r="C121" s="81" t="s">
        <v>264</v>
      </c>
      <c r="D121" s="68" t="s">
        <v>107</v>
      </c>
      <c r="E121" s="68" t="s">
        <v>442</v>
      </c>
      <c r="F121" s="68">
        <v>1</v>
      </c>
      <c r="G121" s="68">
        <v>2</v>
      </c>
      <c r="H121" s="68">
        <v>5</v>
      </c>
      <c r="I121" s="68">
        <v>5</v>
      </c>
      <c r="J121" s="68">
        <v>0</v>
      </c>
      <c r="K121" s="70">
        <v>1.5389999999999999</v>
      </c>
      <c r="L121" s="70">
        <v>1.4890000000000001</v>
      </c>
      <c r="M121" s="71">
        <f t="shared" si="12"/>
        <v>-3.2488628979856937E-2</v>
      </c>
      <c r="N121" s="68">
        <v>6</v>
      </c>
      <c r="O121" s="68">
        <v>6</v>
      </c>
      <c r="P121" s="68">
        <v>0</v>
      </c>
      <c r="Q121" s="72">
        <v>402</v>
      </c>
      <c r="R121" s="72">
        <v>0</v>
      </c>
      <c r="S121" s="72">
        <v>0</v>
      </c>
      <c r="T121" s="72">
        <v>0</v>
      </c>
      <c r="U121" s="72">
        <v>0</v>
      </c>
      <c r="V121" s="73">
        <f>SUM(Q121:U121)*'İşçilik Parametreleri'!$B$28/1000</f>
        <v>0.40200000000000002</v>
      </c>
      <c r="W121" s="70">
        <f>SUMIF('Büküm Parçaları'!$A$2:$A$213,A121,'Büküm Parçaları'!$I$2:$I$213)</f>
        <v>0</v>
      </c>
      <c r="X121" s="70">
        <f>(I121*'İşçilik Parametreleri'!$B$18+IF(L121&gt;'İşçilik Parametreleri'!$B$21,'İşçilik Parametreleri'!$B$20,'İşçilik Parametreleri'!$B$19)+N121*'İşçilik Parametreleri'!$B$22)*'İşçilik Parametreleri'!$B$23</f>
        <v>17.912500000000001</v>
      </c>
      <c r="Y121" s="70">
        <f>(IF('İşçilik Parametreleri'!$B$27="Resme göre",(Q121*INDEX('İşçilik Parametreleri'!$F$16:$I$20,1,MATCH('İşçilik Parametreleri'!$B$26,{"Manuel","Robot","HTD","Lazer"},0))+R121*INDEX('İşçilik Parametreleri'!$F$16:$I$20,2,MATCH('İşçilik Parametreleri'!$B$26,{"Manuel","Robot","HTD","Lazer"},0))+S121*INDEX('İşçilik Parametreleri'!$F$16:$I$20,3,MATCH('İşçilik Parametreleri'!$B$26,{"Manuel","Robot","HTD","Lazer"},0))+T121*INDEX('İşçilik Parametreleri'!$F$16:$I$20,4,MATCH('İşçilik Parametreleri'!$B$26,{"Manuel","Robot","HTD","Lazer"},0))+U121*INDEX('İşçilik Parametreleri'!$F$16:$I$20,5,MATCH('İşçilik Parametreleri'!$B$26,{"Manuel","Robot","HTD","Lazer"},0))),SUM(Q121:U121)*INDEX('İşçilik Parametreleri'!$F$16:$I$20,MATCH(VALUE('İşçilik Parametreleri'!$B$27),'İşçilik Parametreleri'!$E$16:$E$20,0),MATCH('İşçilik Parametreleri'!$B$26,{"Manuel","Robot","HTD","Lazer"},0)))*'İşçilik Parametreleri'!$B$28/1000+O121*IF(OR('İşçilik Parametreleri'!$B$26="Robot",'İşçilik Parametreleri'!$B$26="HTD"),'İşçilik Parametreleri'!$B$30,'İşçilik Parametreleri'!$B$29))*'İşçilik Parametreleri'!$B$31</f>
        <v>8.8140000000000001</v>
      </c>
      <c r="Z121" s="74">
        <f t="shared" si="13"/>
        <v>16.035900000000002</v>
      </c>
      <c r="AA121" s="75" t="s">
        <v>86</v>
      </c>
      <c r="AB121" s="76">
        <v>10000</v>
      </c>
      <c r="AC121" s="77">
        <f>IF(AA121="Kataforez",N(AB121),IF(AA121="Yaş boya",'İşçilik Parametreleri'!$B$6/MAX(1,ROUND(IF(ISNUMBER(AB121),AB121,'İşçilik Parametreleri'!$B$7),0)),0))</f>
        <v>8.0000000000000002E-3</v>
      </c>
      <c r="AD121" s="78">
        <f>W121/100*'İşçilik Parametreleri'!$B$9+X121/100*'İşçilik Parametreleri'!$B$17+Y121/100*'İşçilik Parametreleri'!$B$25</f>
        <v>5.3452999999999999</v>
      </c>
      <c r="AE121" s="78">
        <f t="shared" si="14"/>
        <v>5.3532999999999999</v>
      </c>
      <c r="AF121" s="75">
        <v>5</v>
      </c>
      <c r="AG121" s="84">
        <f>AD121*AF121+IF(AA121="Kataforez",N(AB121)*AF121,IF(AA121="Yaş boya",ROUNDUP(AF121/MAX(1,ROUND(IF(ISNUMBER(AB121),AB121,'İşçilik Parametreleri'!$B$7),0)),0)*'İşçilik Parametreleri'!$B$6,0))</f>
        <v>106.7265</v>
      </c>
      <c r="AH121" s="70">
        <f t="shared" si="15"/>
        <v>1.336325</v>
      </c>
    </row>
    <row r="122" spans="1:34" ht="15" customHeight="1" x14ac:dyDescent="0.25">
      <c r="A122" s="82" t="s">
        <v>558</v>
      </c>
      <c r="B122" s="80" t="s">
        <v>23</v>
      </c>
      <c r="C122" s="81" t="s">
        <v>266</v>
      </c>
      <c r="D122" s="68" t="s">
        <v>93</v>
      </c>
      <c r="E122" s="68" t="s">
        <v>442</v>
      </c>
      <c r="F122" s="68">
        <v>1</v>
      </c>
      <c r="G122" s="68">
        <v>2</v>
      </c>
      <c r="H122" s="68">
        <v>3</v>
      </c>
      <c r="I122" s="68">
        <v>3</v>
      </c>
      <c r="J122" s="68">
        <v>1</v>
      </c>
      <c r="K122" s="70">
        <v>1.99</v>
      </c>
      <c r="L122" s="70">
        <v>1.968</v>
      </c>
      <c r="M122" s="71">
        <f t="shared" si="12"/>
        <v>-1.1055276381909557E-2</v>
      </c>
      <c r="N122" s="68">
        <v>3</v>
      </c>
      <c r="O122" s="68">
        <v>3</v>
      </c>
      <c r="P122" s="68">
        <v>0</v>
      </c>
      <c r="Q122" s="72">
        <v>0</v>
      </c>
      <c r="R122" s="72">
        <v>0</v>
      </c>
      <c r="S122" s="72">
        <v>0</v>
      </c>
      <c r="T122" s="72">
        <v>0</v>
      </c>
      <c r="U122" s="72">
        <v>201</v>
      </c>
      <c r="V122" s="73">
        <f>SUM(Q122:U122)*'İşçilik Parametreleri'!$B$28/1000</f>
        <v>0.20100000000000001</v>
      </c>
      <c r="W122" s="70">
        <f>SUMIF('Büküm Parçaları'!$A$2:$A$213,A122,'Büküm Parçaları'!$I$2:$I$213)</f>
        <v>5.4049999999999994</v>
      </c>
      <c r="X122" s="70">
        <f>(I122*'İşçilik Parametreleri'!$B$18+IF(L122&gt;'İşçilik Parametreleri'!$B$21,'İşçilik Parametreleri'!$B$20,'İşçilik Parametreleri'!$B$19)+N122*'İşçilik Parametreleri'!$B$22)*'İşçilik Parametreleri'!$B$23</f>
        <v>11.6625</v>
      </c>
      <c r="Y122" s="70">
        <f>(IF('İşçilik Parametreleri'!$B$27="Resme göre",(Q122*INDEX('İşçilik Parametreleri'!$F$16:$I$20,1,MATCH('İşçilik Parametreleri'!$B$26,{"Manuel","Robot","HTD","Lazer"},0))+R122*INDEX('İşçilik Parametreleri'!$F$16:$I$20,2,MATCH('İşçilik Parametreleri'!$B$26,{"Manuel","Robot","HTD","Lazer"},0))+S122*INDEX('İşçilik Parametreleri'!$F$16:$I$20,3,MATCH('İşçilik Parametreleri'!$B$26,{"Manuel","Robot","HTD","Lazer"},0))+T122*INDEX('İşçilik Parametreleri'!$F$16:$I$20,4,MATCH('İşçilik Parametreleri'!$B$26,{"Manuel","Robot","HTD","Lazer"},0))+U122*INDEX('İşçilik Parametreleri'!$F$16:$I$20,5,MATCH('İşçilik Parametreleri'!$B$26,{"Manuel","Robot","HTD","Lazer"},0))),SUM(Q122:U122)*INDEX('İşçilik Parametreleri'!$F$16:$I$20,MATCH(VALUE('İşçilik Parametreleri'!$B$27),'İşçilik Parametreleri'!$E$16:$E$20,0),MATCH('İşçilik Parametreleri'!$B$26,{"Manuel","Robot","HTD","Lazer"},0)))*'İşçilik Parametreleri'!$B$28/1000+O122*IF(OR('İşçilik Parametreleri'!$B$26="Robot",'İşçilik Parametreleri'!$B$26="HTD"),'İşçilik Parametreleri'!$B$30,'İşçilik Parametreleri'!$B$29))*'İşçilik Parametreleri'!$B$31</f>
        <v>9.2309999999999999</v>
      </c>
      <c r="Z122" s="74">
        <f t="shared" si="13"/>
        <v>15.779099999999998</v>
      </c>
      <c r="AA122" s="75" t="s">
        <v>86</v>
      </c>
      <c r="AB122" s="76">
        <v>10000</v>
      </c>
      <c r="AC122" s="77">
        <f>IF(AA122="Kataforez",N(AB122),IF(AA122="Yaş boya",'İşçilik Parametreleri'!$B$6/MAX(1,ROUND(IF(ISNUMBER(AB122),AB122,'İşçilik Parametreleri'!$B$7),0)),0))</f>
        <v>8.0000000000000002E-3</v>
      </c>
      <c r="AD122" s="78">
        <f>W122/100*'İşçilik Parametreleri'!$B$9+X122/100*'İşçilik Parametreleri'!$B$17+Y122/100*'İşçilik Parametreleri'!$B$25</f>
        <v>5.2597000000000005</v>
      </c>
      <c r="AE122" s="78">
        <f t="shared" si="14"/>
        <v>5.2677000000000005</v>
      </c>
      <c r="AF122" s="75">
        <v>5</v>
      </c>
      <c r="AG122" s="84">
        <f>AD122*AF122+IF(AA122="Kataforez",N(AB122)*AF122,IF(AA122="Yaş boya",ROUNDUP(AF122/MAX(1,ROUND(IF(ISNUMBER(AB122),AB122,'İşçilik Parametreleri'!$B$7),0)),0)*'İşçilik Parametreleri'!$B$6,0))</f>
        <v>106.2985</v>
      </c>
      <c r="AH122" s="70">
        <f t="shared" si="15"/>
        <v>1.3149249999999997</v>
      </c>
    </row>
    <row r="123" spans="1:34" ht="15" customHeight="1" x14ac:dyDescent="0.25">
      <c r="A123" s="82" t="s">
        <v>559</v>
      </c>
      <c r="B123" s="80" t="s">
        <v>23</v>
      </c>
      <c r="C123" s="81" t="s">
        <v>268</v>
      </c>
      <c r="D123" s="68" t="s">
        <v>117</v>
      </c>
      <c r="E123" s="68" t="s">
        <v>447</v>
      </c>
      <c r="F123" s="68">
        <v>1</v>
      </c>
      <c r="G123" s="68">
        <v>2</v>
      </c>
      <c r="H123" s="68">
        <v>3</v>
      </c>
      <c r="I123" s="68">
        <v>3</v>
      </c>
      <c r="J123" s="68">
        <v>0</v>
      </c>
      <c r="K123" s="70">
        <v>3.3879999999999999</v>
      </c>
      <c r="L123" s="70">
        <v>3.28</v>
      </c>
      <c r="M123" s="71">
        <f t="shared" si="12"/>
        <v>-3.1877213695395541E-2</v>
      </c>
      <c r="N123" s="68">
        <v>2</v>
      </c>
      <c r="O123" s="68">
        <v>2</v>
      </c>
      <c r="P123" s="68">
        <v>0</v>
      </c>
      <c r="Q123" s="72">
        <v>0</v>
      </c>
      <c r="R123" s="72">
        <v>0</v>
      </c>
      <c r="S123" s="72">
        <v>700</v>
      </c>
      <c r="T123" s="72">
        <v>0</v>
      </c>
      <c r="U123" s="72">
        <v>0</v>
      </c>
      <c r="V123" s="73">
        <f>SUM(Q123:U123)*'İşçilik Parametreleri'!$B$28/1000</f>
        <v>0.7</v>
      </c>
      <c r="W123" s="70">
        <f>SUMIF('Büküm Parçaları'!$A$2:$A$213,A123,'Büküm Parçaları'!$I$2:$I$213)</f>
        <v>0</v>
      </c>
      <c r="X123" s="70">
        <f>(I123*'İşçilik Parametreleri'!$B$18+IF(L123&gt;'İşçilik Parametreleri'!$B$21,'İşçilik Parametreleri'!$B$20,'İşçilik Parametreleri'!$B$19)+N123*'İşçilik Parametreleri'!$B$22)*'İşçilik Parametreleri'!$B$23</f>
        <v>10.4125</v>
      </c>
      <c r="Y123" s="70">
        <f>(IF('İşçilik Parametreleri'!$B$27="Resme göre",(Q123*INDEX('İşçilik Parametreleri'!$F$16:$I$20,1,MATCH('İşçilik Parametreleri'!$B$26,{"Manuel","Robot","HTD","Lazer"},0))+R123*INDEX('İşçilik Parametreleri'!$F$16:$I$20,2,MATCH('İşçilik Parametreleri'!$B$26,{"Manuel","Robot","HTD","Lazer"},0))+S123*INDEX('İşçilik Parametreleri'!$F$16:$I$20,3,MATCH('İşçilik Parametreleri'!$B$26,{"Manuel","Robot","HTD","Lazer"},0))+T123*INDEX('İşçilik Parametreleri'!$F$16:$I$20,4,MATCH('İşçilik Parametreleri'!$B$26,{"Manuel","Robot","HTD","Lazer"},0))+U123*INDEX('İşçilik Parametreleri'!$F$16:$I$20,5,MATCH('İşçilik Parametreleri'!$B$26,{"Manuel","Robot","HTD","Lazer"},0))),SUM(Q123:U123)*INDEX('İşçilik Parametreleri'!$F$16:$I$20,MATCH(VALUE('İşçilik Parametreleri'!$B$27),'İşçilik Parametreleri'!$E$16:$E$20,0),MATCH('İşçilik Parametreleri'!$B$26,{"Manuel","Robot","HTD","Lazer"},0)))*'İşçilik Parametreleri'!$B$28/1000+O123*IF(OR('İşçilik Parametreleri'!$B$26="Robot",'İşçilik Parametreleri'!$B$26="HTD"),'İşçilik Parametreleri'!$B$30,'İşçilik Parametreleri'!$B$29))*'İşçilik Parametreleri'!$B$31</f>
        <v>14.6</v>
      </c>
      <c r="Z123" s="74">
        <f t="shared" si="13"/>
        <v>15.007499999999999</v>
      </c>
      <c r="AA123" s="75" t="s">
        <v>86</v>
      </c>
      <c r="AB123" s="76">
        <v>10000</v>
      </c>
      <c r="AC123" s="77">
        <f>IF(AA123="Kataforez",N(AB123),IF(AA123="Yaş boya",'İşçilik Parametreleri'!$B$6/MAX(1,ROUND(IF(ISNUMBER(AB123),AB123,'İşçilik Parametreleri'!$B$7),0)),0))</f>
        <v>8.0000000000000002E-3</v>
      </c>
      <c r="AD123" s="78">
        <f>W123/100*'İşçilik Parametreleri'!$B$9+X123/100*'İşçilik Parametreleri'!$B$17+Y123/100*'İşçilik Parametreleri'!$B$25</f>
        <v>5.0024999999999995</v>
      </c>
      <c r="AE123" s="78">
        <f t="shared" si="14"/>
        <v>5.0104999999999995</v>
      </c>
      <c r="AF123" s="75">
        <v>5</v>
      </c>
      <c r="AG123" s="84">
        <f>AD123*AF123+IF(AA123="Kataforez",N(AB123)*AF123,IF(AA123="Yaş boya",ROUNDUP(AF123/MAX(1,ROUND(IF(ISNUMBER(AB123),AB123,'İşçilik Parametreleri'!$B$7),0)),0)*'İşçilik Parametreleri'!$B$6,0))</f>
        <v>105.01249999999999</v>
      </c>
      <c r="AH123" s="70">
        <f t="shared" si="15"/>
        <v>1.2506250000000001</v>
      </c>
    </row>
    <row r="124" spans="1:34" ht="15" customHeight="1" x14ac:dyDescent="0.25">
      <c r="A124" s="82" t="s">
        <v>560</v>
      </c>
      <c r="B124" s="80" t="s">
        <v>23</v>
      </c>
      <c r="C124" s="81" t="s">
        <v>269</v>
      </c>
      <c r="D124" s="68" t="s">
        <v>107</v>
      </c>
      <c r="E124" s="68" t="s">
        <v>442</v>
      </c>
      <c r="F124" s="68">
        <v>1</v>
      </c>
      <c r="G124" s="68">
        <v>2</v>
      </c>
      <c r="H124" s="68">
        <v>2</v>
      </c>
      <c r="I124" s="68">
        <v>2</v>
      </c>
      <c r="J124" s="68">
        <v>1</v>
      </c>
      <c r="K124" s="70">
        <v>5.46</v>
      </c>
      <c r="L124" s="70">
        <v>5.4470000000000001</v>
      </c>
      <c r="M124" s="71">
        <f t="shared" si="12"/>
        <v>-2.380952380952363E-3</v>
      </c>
      <c r="N124" s="68">
        <v>2</v>
      </c>
      <c r="O124" s="68">
        <v>2</v>
      </c>
      <c r="P124" s="68">
        <v>0</v>
      </c>
      <c r="Q124" s="72">
        <v>250</v>
      </c>
      <c r="R124" s="72">
        <v>0</v>
      </c>
      <c r="S124" s="72">
        <v>0</v>
      </c>
      <c r="T124" s="72">
        <v>0</v>
      </c>
      <c r="U124" s="72">
        <v>0</v>
      </c>
      <c r="V124" s="73">
        <f>SUM(Q124:U124)*'İşçilik Parametreleri'!$B$28/1000</f>
        <v>0.25</v>
      </c>
      <c r="W124" s="70">
        <f>SUMIF('Büküm Parçaları'!$A$2:$A$213,A124,'Büküm Parçaları'!$I$2:$I$213)</f>
        <v>10.723750000000001</v>
      </c>
      <c r="X124" s="70">
        <f>(I124*'İşçilik Parametreleri'!$B$18+IF(L124&gt;'İşçilik Parametreleri'!$B$21,'İşçilik Parametreleri'!$B$20,'İşçilik Parametreleri'!$B$19)+N124*'İşçilik Parametreleri'!$B$22)*'İşçilik Parametreleri'!$B$23</f>
        <v>9.1624999999999996</v>
      </c>
      <c r="Y124" s="70">
        <f>(IF('İşçilik Parametreleri'!$B$27="Resme göre",(Q124*INDEX('İşçilik Parametreleri'!$F$16:$I$20,1,MATCH('İşçilik Parametreleri'!$B$26,{"Manuel","Robot","HTD","Lazer"},0))+R124*INDEX('İşçilik Parametreleri'!$F$16:$I$20,2,MATCH('İşçilik Parametreleri'!$B$26,{"Manuel","Robot","HTD","Lazer"},0))+S124*INDEX('İşçilik Parametreleri'!$F$16:$I$20,3,MATCH('İşçilik Parametreleri'!$B$26,{"Manuel","Robot","HTD","Lazer"},0))+T124*INDEX('İşçilik Parametreleri'!$F$16:$I$20,4,MATCH('İşçilik Parametreleri'!$B$26,{"Manuel","Robot","HTD","Lazer"},0))+U124*INDEX('İşçilik Parametreleri'!$F$16:$I$20,5,MATCH('İşçilik Parametreleri'!$B$26,{"Manuel","Robot","HTD","Lazer"},0))),SUM(Q124:U124)*INDEX('İşçilik Parametreleri'!$F$16:$I$20,MATCH(VALUE('İşçilik Parametreleri'!$B$27),'İşçilik Parametreleri'!$E$16:$E$20,0),MATCH('İşçilik Parametreleri'!$B$26,{"Manuel","Robot","HTD","Lazer"},0)))*'İşçilik Parametreleri'!$B$28/1000+O124*IF(OR('İşçilik Parametreleri'!$B$26="Robot",'İşçilik Parametreleri'!$B$26="HTD"),'İşçilik Parametreleri'!$B$30,'İşçilik Parametreleri'!$B$29))*'İşçilik Parametreleri'!$B$31</f>
        <v>3.75</v>
      </c>
      <c r="Z124" s="74">
        <f t="shared" si="13"/>
        <v>14.181749999999999</v>
      </c>
      <c r="AA124" s="75" t="s">
        <v>86</v>
      </c>
      <c r="AB124" s="76">
        <v>10000</v>
      </c>
      <c r="AC124" s="77">
        <f>IF(AA124="Kataforez",N(AB124),IF(AA124="Yaş boya",'İşçilik Parametreleri'!$B$6/MAX(1,ROUND(IF(ISNUMBER(AB124),AB124,'İşçilik Parametreleri'!$B$7),0)),0))</f>
        <v>8.0000000000000002E-3</v>
      </c>
      <c r="AD124" s="78">
        <f>W124/100*'İşçilik Parametreleri'!$B$9+X124/100*'İşçilik Parametreleri'!$B$17+Y124/100*'İşçilik Parametreleri'!$B$25</f>
        <v>4.7272499999999997</v>
      </c>
      <c r="AE124" s="78">
        <f t="shared" si="14"/>
        <v>4.7352499999999997</v>
      </c>
      <c r="AF124" s="75">
        <v>5</v>
      </c>
      <c r="AG124" s="84">
        <f>AD124*AF124+IF(AA124="Kataforez",N(AB124)*AF124,IF(AA124="Yaş boya",ROUNDUP(AF124/MAX(1,ROUND(IF(ISNUMBER(AB124),AB124,'İşçilik Parametreleri'!$B$7),0)),0)*'İşçilik Parametreleri'!$B$6,0))</f>
        <v>103.63624999999999</v>
      </c>
      <c r="AH124" s="70">
        <f t="shared" si="15"/>
        <v>1.1818125000000002</v>
      </c>
    </row>
    <row r="125" spans="1:34" ht="15" customHeight="1" x14ac:dyDescent="0.25">
      <c r="A125" s="82" t="s">
        <v>561</v>
      </c>
      <c r="B125" s="68" t="s">
        <v>439</v>
      </c>
      <c r="C125" s="69" t="s">
        <v>270</v>
      </c>
      <c r="D125" s="68" t="s">
        <v>117</v>
      </c>
      <c r="E125" s="68" t="s">
        <v>130</v>
      </c>
      <c r="F125" s="68">
        <v>1</v>
      </c>
      <c r="G125" s="68">
        <v>3</v>
      </c>
      <c r="H125" s="68">
        <v>5</v>
      </c>
      <c r="I125" s="68">
        <v>5</v>
      </c>
      <c r="J125" s="68">
        <v>0</v>
      </c>
      <c r="K125" s="70">
        <v>13.986000000000001</v>
      </c>
      <c r="L125" s="70">
        <v>14.028</v>
      </c>
      <c r="M125" s="71">
        <f t="shared" si="12"/>
        <v>3.0030030030029895E-3</v>
      </c>
      <c r="N125" s="68">
        <v>4</v>
      </c>
      <c r="O125" s="68">
        <v>0</v>
      </c>
      <c r="P125" s="68">
        <v>4</v>
      </c>
      <c r="Q125" s="72">
        <v>0</v>
      </c>
      <c r="R125" s="72">
        <v>0</v>
      </c>
      <c r="S125" s="72">
        <v>0</v>
      </c>
      <c r="T125" s="72">
        <v>0</v>
      </c>
      <c r="U125" s="72">
        <v>0</v>
      </c>
      <c r="V125" s="73">
        <f>SUM(Q125:U125)*'İşçilik Parametreleri'!$B$28/1000</f>
        <v>0</v>
      </c>
      <c r="W125" s="70">
        <f>SUMIF('Büküm Parçaları'!$A$2:$A$213,A125,'Büküm Parçaları'!$I$2:$I$213)</f>
        <v>0</v>
      </c>
      <c r="X125" s="70">
        <f>(I125*'İşçilik Parametreleri'!$B$18+IF(L125&gt;'İşçilik Parametreleri'!$B$21,'İşçilik Parametreleri'!$B$20,'İşçilik Parametreleri'!$B$19)+N125*'İşçilik Parametreleri'!$B$22)*'İşçilik Parametreleri'!$B$23</f>
        <v>15.4125</v>
      </c>
      <c r="Y125" s="70">
        <f>(IF('İşçilik Parametreleri'!$B$27="Resme göre",(Q125*INDEX('İşçilik Parametreleri'!$F$16:$I$20,1,MATCH('İşçilik Parametreleri'!$B$26,{"Manuel","Robot","HTD","Lazer"},0))+R125*INDEX('İşçilik Parametreleri'!$F$16:$I$20,2,MATCH('İşçilik Parametreleri'!$B$26,{"Manuel","Robot","HTD","Lazer"},0))+S125*INDEX('İşçilik Parametreleri'!$F$16:$I$20,3,MATCH('İşçilik Parametreleri'!$B$26,{"Manuel","Robot","HTD","Lazer"},0))+T125*INDEX('İşçilik Parametreleri'!$F$16:$I$20,4,MATCH('İşçilik Parametreleri'!$B$26,{"Manuel","Robot","HTD","Lazer"},0))+U125*INDEX('İşçilik Parametreleri'!$F$16:$I$20,5,MATCH('İşçilik Parametreleri'!$B$26,{"Manuel","Robot","HTD","Lazer"},0))),SUM(Q125:U125)*INDEX('İşçilik Parametreleri'!$F$16:$I$20,MATCH(VALUE('İşçilik Parametreleri'!$B$27),'İşçilik Parametreleri'!$E$16:$E$20,0),MATCH('İşçilik Parametreleri'!$B$26,{"Manuel","Robot","HTD","Lazer"},0)))*'İşçilik Parametreleri'!$B$28/1000+O125*IF(OR('İşçilik Parametreleri'!$B$26="Robot",'İşçilik Parametreleri'!$B$26="HTD"),'İşçilik Parametreleri'!$B$30,'İşçilik Parametreleri'!$B$29))*'İşçilik Parametreleri'!$B$31</f>
        <v>0</v>
      </c>
      <c r="Z125" s="74">
        <f t="shared" si="13"/>
        <v>9.2474999999999987</v>
      </c>
      <c r="AA125" s="75" t="s">
        <v>124</v>
      </c>
      <c r="AB125" s="76"/>
      <c r="AC125" s="77">
        <f>IF(AA125="Kataforez",N(AB125),IF(AA125="Yaş boya",'İşçilik Parametreleri'!$B$6/MAX(1,ROUND(IF(ISNUMBER(AB125),AB125,'İşçilik Parametreleri'!$B$7),0)),0))</f>
        <v>0</v>
      </c>
      <c r="AD125" s="78">
        <f>W125/100*'İşçilik Parametreleri'!$B$9+X125/100*'İşçilik Parametreleri'!$B$17+Y125/100*'İşçilik Parametreleri'!$B$25</f>
        <v>3.0824999999999996</v>
      </c>
      <c r="AE125" s="78">
        <f t="shared" si="14"/>
        <v>3.0824999999999996</v>
      </c>
      <c r="AF125" s="75">
        <v>56</v>
      </c>
      <c r="AG125" s="84">
        <f>AD125*AF125+IF(AA125="Kataforez",N(AB125)*AF125,IF(AA125="Yaş boya",ROUNDUP(AF125/MAX(1,ROUND(IF(ISNUMBER(AB125),AB125,'İşçilik Parametreleri'!$B$7),0)),0)*'İşçilik Parametreleri'!$B$6,0))</f>
        <v>172.61999999999998</v>
      </c>
      <c r="AH125" s="70">
        <f t="shared" si="15"/>
        <v>8.6310000000000002</v>
      </c>
    </row>
    <row r="126" spans="1:34" ht="15" customHeight="1" x14ac:dyDescent="0.25">
      <c r="A126" s="67" t="s">
        <v>562</v>
      </c>
      <c r="B126" s="68" t="s">
        <v>439</v>
      </c>
      <c r="C126" s="69" t="s">
        <v>272</v>
      </c>
      <c r="D126" s="68" t="s">
        <v>99</v>
      </c>
      <c r="E126" s="68" t="s">
        <v>130</v>
      </c>
      <c r="F126" s="68">
        <v>1</v>
      </c>
      <c r="G126" s="68">
        <v>4</v>
      </c>
      <c r="H126" s="68">
        <v>15</v>
      </c>
      <c r="I126" s="68">
        <v>15</v>
      </c>
      <c r="J126" s="68">
        <v>14</v>
      </c>
      <c r="K126" s="70">
        <v>50.3</v>
      </c>
      <c r="L126" s="70">
        <v>52.161000000000001</v>
      </c>
      <c r="M126" s="71">
        <f t="shared" si="12"/>
        <v>3.6998011928429511E-2</v>
      </c>
      <c r="N126" s="68">
        <v>23</v>
      </c>
      <c r="O126" s="68">
        <v>19</v>
      </c>
      <c r="P126" s="68">
        <v>4</v>
      </c>
      <c r="Q126" s="72">
        <v>6983</v>
      </c>
      <c r="R126" s="72">
        <v>0</v>
      </c>
      <c r="S126" s="72">
        <v>0</v>
      </c>
      <c r="T126" s="72">
        <v>0</v>
      </c>
      <c r="U126" s="72">
        <v>0</v>
      </c>
      <c r="V126" s="73">
        <f>SUM(Q126:U126)*'İşçilik Parametreleri'!$B$28/1000</f>
        <v>6.9829999999999997</v>
      </c>
      <c r="W126" s="70">
        <f>SUMIF('Büküm Parçaları'!$A$2:$A$213,A126,'Büküm Parçaları'!$I$2:$I$213)</f>
        <v>48.012499999999996</v>
      </c>
      <c r="X126" s="70">
        <f>(I126*'İşçilik Parametreleri'!$B$18+IF(L126&gt;'İşçilik Parametreleri'!$B$21,'İşçilik Parametreleri'!$B$20,'İşçilik Parametreleri'!$B$19)+N126*'İşçilik Parametreleri'!$B$22)*'İşçilik Parametreleri'!$B$23</f>
        <v>56.25</v>
      </c>
      <c r="Y126" s="70">
        <f>(IF('İşçilik Parametreleri'!$B$27="Resme göre",(Q126*INDEX('İşçilik Parametreleri'!$F$16:$I$20,1,MATCH('İşçilik Parametreleri'!$B$26,{"Manuel","Robot","HTD","Lazer"},0))+R126*INDEX('İşçilik Parametreleri'!$F$16:$I$20,2,MATCH('İşçilik Parametreleri'!$B$26,{"Manuel","Robot","HTD","Lazer"},0))+S126*INDEX('İşçilik Parametreleri'!$F$16:$I$20,3,MATCH('İşçilik Parametreleri'!$B$26,{"Manuel","Robot","HTD","Lazer"},0))+T126*INDEX('İşçilik Parametreleri'!$F$16:$I$20,4,MATCH('İşçilik Parametreleri'!$B$26,{"Manuel","Robot","HTD","Lazer"},0))+U126*INDEX('İşçilik Parametreleri'!$F$16:$I$20,5,MATCH('İşçilik Parametreleri'!$B$26,{"Manuel","Robot","HTD","Lazer"},0))),SUM(Q126:U126)*INDEX('İşçilik Parametreleri'!$F$16:$I$20,MATCH(VALUE('İşçilik Parametreleri'!$B$27),'İşçilik Parametreleri'!$E$16:$E$20,0),MATCH('İşçilik Parametreleri'!$B$26,{"Manuel","Robot","HTD","Lazer"},0)))*'İşçilik Parametreleri'!$B$28/1000+O126*IF(OR('İşçilik Parametreleri'!$B$26="Robot",'İşçilik Parametreleri'!$B$26="HTD"),'İşçilik Parametreleri'!$B$30,'İşçilik Parametreleri'!$B$29))*'İşçilik Parametreleri'!$B$31</f>
        <v>67.881</v>
      </c>
      <c r="Z126" s="74">
        <f t="shared" si="13"/>
        <v>103.28609999999999</v>
      </c>
      <c r="AA126" s="75" t="s">
        <v>124</v>
      </c>
      <c r="AB126" s="76"/>
      <c r="AC126" s="77">
        <f>IF(AA126="Kataforez",N(AB126),IF(AA126="Yaş boya",'İşçilik Parametreleri'!$B$6/MAX(1,ROUND(IF(ISNUMBER(AB126),AB126,'İşçilik Parametreleri'!$B$7),0)),0))</f>
        <v>0</v>
      </c>
      <c r="AD126" s="78">
        <f>W126/100*'İşçilik Parametreleri'!$B$9+X126/100*'İşçilik Parametreleri'!$B$17+Y126/100*'İşçilik Parametreleri'!$B$25</f>
        <v>34.428699999999999</v>
      </c>
      <c r="AE126" s="78">
        <f t="shared" si="14"/>
        <v>34.428699999999999</v>
      </c>
      <c r="AF126" s="75">
        <v>5</v>
      </c>
      <c r="AG126" s="84">
        <f>AD126*AF126+IF(AA126="Kataforez",N(AB126)*AF126,IF(AA126="Yaş boya",ROUNDUP(AF126/MAX(1,ROUND(IF(ISNUMBER(AB126),AB126,'İşçilik Parametreleri'!$B$7),0)),0)*'İşçilik Parametreleri'!$B$6,0))</f>
        <v>172.14349999999999</v>
      </c>
      <c r="AH126" s="70">
        <f t="shared" si="15"/>
        <v>8.6071749999999998</v>
      </c>
    </row>
    <row r="127" spans="1:34" ht="15" customHeight="1" x14ac:dyDescent="0.25">
      <c r="A127" s="82" t="s">
        <v>563</v>
      </c>
      <c r="B127" s="80" t="s">
        <v>23</v>
      </c>
      <c r="C127" s="81" t="s">
        <v>274</v>
      </c>
      <c r="D127" s="68" t="s">
        <v>107</v>
      </c>
      <c r="E127" s="68" t="s">
        <v>442</v>
      </c>
      <c r="F127" s="68">
        <v>1</v>
      </c>
      <c r="G127" s="68">
        <v>2</v>
      </c>
      <c r="H127" s="68">
        <v>5</v>
      </c>
      <c r="I127" s="68">
        <v>5</v>
      </c>
      <c r="J127" s="68">
        <v>4</v>
      </c>
      <c r="K127" s="70">
        <v>3.4350000000000001</v>
      </c>
      <c r="L127" s="70">
        <v>3.4350000000000001</v>
      </c>
      <c r="M127" s="71">
        <f t="shared" si="12"/>
        <v>0</v>
      </c>
      <c r="N127" s="68">
        <v>4</v>
      </c>
      <c r="O127" s="68">
        <v>4</v>
      </c>
      <c r="P127" s="68">
        <v>0</v>
      </c>
      <c r="Q127" s="72">
        <v>500</v>
      </c>
      <c r="R127" s="72">
        <v>0</v>
      </c>
      <c r="S127" s="72">
        <v>0</v>
      </c>
      <c r="T127" s="72">
        <v>0</v>
      </c>
      <c r="U127" s="72">
        <v>0</v>
      </c>
      <c r="V127" s="73">
        <f>SUM(Q127:U127)*'İşçilik Parametreleri'!$B$28/1000</f>
        <v>0.5</v>
      </c>
      <c r="W127" s="70">
        <f>SUMIF('Büküm Parçaları'!$A$2:$A$213,A127,'Büküm Parçaları'!$I$2:$I$213)</f>
        <v>13.11</v>
      </c>
      <c r="X127" s="70">
        <f>(I127*'İşçilik Parametreleri'!$B$18+IF(L127&gt;'İşçilik Parametreleri'!$B$21,'İşçilik Parametreleri'!$B$20,'İşçilik Parametreleri'!$B$19)+N127*'İşçilik Parametreleri'!$B$22)*'İşçilik Parametreleri'!$B$23</f>
        <v>15.4125</v>
      </c>
      <c r="Y127" s="70">
        <f>(IF('İşçilik Parametreleri'!$B$27="Resme göre",(Q127*INDEX('İşçilik Parametreleri'!$F$16:$I$20,1,MATCH('İşçilik Parametreleri'!$B$26,{"Manuel","Robot","HTD","Lazer"},0))+R127*INDEX('İşçilik Parametreleri'!$F$16:$I$20,2,MATCH('İşçilik Parametreleri'!$B$26,{"Manuel","Robot","HTD","Lazer"},0))+S127*INDEX('İşçilik Parametreleri'!$F$16:$I$20,3,MATCH('İşçilik Parametreleri'!$B$26,{"Manuel","Robot","HTD","Lazer"},0))+T127*INDEX('İşçilik Parametreleri'!$F$16:$I$20,4,MATCH('İşçilik Parametreleri'!$B$26,{"Manuel","Robot","HTD","Lazer"},0))+U127*INDEX('İşçilik Parametreleri'!$F$16:$I$20,5,MATCH('İşçilik Parametreleri'!$B$26,{"Manuel","Robot","HTD","Lazer"},0))),SUM(Q127:U127)*INDEX('İşçilik Parametreleri'!$F$16:$I$20,MATCH(VALUE('İşçilik Parametreleri'!$B$27),'İşçilik Parametreleri'!$E$16:$E$20,0),MATCH('İşçilik Parametreleri'!$B$26,{"Manuel","Robot","HTD","Lazer"},0)))*'İşçilik Parametreleri'!$B$28/1000+O127*IF(OR('İşçilik Parametreleri'!$B$26="Robot",'İşçilik Parametreleri'!$B$26="HTD"),'İşçilik Parametreleri'!$B$30,'İşçilik Parametreleri'!$B$29))*'İşçilik Parametreleri'!$B$31</f>
        <v>7.5</v>
      </c>
      <c r="Z127" s="74">
        <f t="shared" si="13"/>
        <v>21.613499999999998</v>
      </c>
      <c r="AA127" s="75" t="s">
        <v>86</v>
      </c>
      <c r="AB127" s="76">
        <v>10000</v>
      </c>
      <c r="AC127" s="77">
        <f>IF(AA127="Kataforez",N(AB127),IF(AA127="Yaş boya",'İşçilik Parametreleri'!$B$6/MAX(1,ROUND(IF(ISNUMBER(AB127),AB127,'İşçilik Parametreleri'!$B$7),0)),0))</f>
        <v>8.0000000000000002E-3</v>
      </c>
      <c r="AD127" s="78">
        <f>W127/100*'İşçilik Parametreleri'!$B$9+X127/100*'İşçilik Parametreleri'!$B$17+Y127/100*'İşçilik Parametreleri'!$B$25</f>
        <v>7.2044999999999995</v>
      </c>
      <c r="AE127" s="78">
        <f t="shared" si="14"/>
        <v>7.2124999999999995</v>
      </c>
      <c r="AF127" s="75">
        <v>3</v>
      </c>
      <c r="AG127" s="84">
        <f>AD127*AF127+IF(AA127="Kataforez",N(AB127)*AF127,IF(AA127="Yaş boya",ROUNDUP(AF127/MAX(1,ROUND(IF(ISNUMBER(AB127),AB127,'İşçilik Parametreleri'!$B$7),0)),0)*'İşçilik Parametreleri'!$B$6,0))</f>
        <v>101.6135</v>
      </c>
      <c r="AH127" s="70">
        <f t="shared" si="15"/>
        <v>1.0806750000000001</v>
      </c>
    </row>
    <row r="128" spans="1:34" ht="15" customHeight="1" x14ac:dyDescent="0.25">
      <c r="A128" s="82" t="s">
        <v>564</v>
      </c>
      <c r="B128" s="80" t="s">
        <v>23</v>
      </c>
      <c r="C128" s="81" t="s">
        <v>275</v>
      </c>
      <c r="D128" s="68" t="s">
        <v>117</v>
      </c>
      <c r="E128" s="68" t="s">
        <v>447</v>
      </c>
      <c r="F128" s="68">
        <v>1</v>
      </c>
      <c r="G128" s="68">
        <v>2</v>
      </c>
      <c r="H128" s="68">
        <v>3</v>
      </c>
      <c r="I128" s="68">
        <v>3</v>
      </c>
      <c r="J128" s="68">
        <v>2</v>
      </c>
      <c r="K128" s="70">
        <v>5.21</v>
      </c>
      <c r="L128" s="70">
        <v>5.2119999999999997</v>
      </c>
      <c r="M128" s="71">
        <f t="shared" si="12"/>
        <v>3.8387715930897885E-4</v>
      </c>
      <c r="N128" s="68">
        <v>2</v>
      </c>
      <c r="O128" s="68">
        <v>2</v>
      </c>
      <c r="P128" s="68">
        <v>0</v>
      </c>
      <c r="Q128" s="72">
        <v>300</v>
      </c>
      <c r="R128" s="72">
        <v>0</v>
      </c>
      <c r="S128" s="72">
        <v>0</v>
      </c>
      <c r="T128" s="72">
        <v>0</v>
      </c>
      <c r="U128" s="72">
        <v>0</v>
      </c>
      <c r="V128" s="73">
        <f>SUM(Q128:U128)*'İşçilik Parametreleri'!$B$28/1000</f>
        <v>0.3</v>
      </c>
      <c r="W128" s="70">
        <f>SUMIF('Büküm Parçaları'!$A$2:$A$213,A128,'Büküm Parçaları'!$I$2:$I$213)</f>
        <v>6.5549999999999997</v>
      </c>
      <c r="X128" s="70">
        <f>(I128*'İşçilik Parametreleri'!$B$18+IF(L128&gt;'İşçilik Parametreleri'!$B$21,'İşçilik Parametreleri'!$B$20,'İşçilik Parametreleri'!$B$19)+N128*'İşçilik Parametreleri'!$B$22)*'İşçilik Parametreleri'!$B$23</f>
        <v>10.4125</v>
      </c>
      <c r="Y128" s="70">
        <f>(IF('İşçilik Parametreleri'!$B$27="Resme göre",(Q128*INDEX('İşçilik Parametreleri'!$F$16:$I$20,1,MATCH('İşçilik Parametreleri'!$B$26,{"Manuel","Robot","HTD","Lazer"},0))+R128*INDEX('İşçilik Parametreleri'!$F$16:$I$20,2,MATCH('İşçilik Parametreleri'!$B$26,{"Manuel","Robot","HTD","Lazer"},0))+S128*INDEX('İşçilik Parametreleri'!$F$16:$I$20,3,MATCH('İşçilik Parametreleri'!$B$26,{"Manuel","Robot","HTD","Lazer"},0))+T128*INDEX('İşçilik Parametreleri'!$F$16:$I$20,4,MATCH('İşçilik Parametreleri'!$B$26,{"Manuel","Robot","HTD","Lazer"},0))+U128*INDEX('İşçilik Parametreleri'!$F$16:$I$20,5,MATCH('İşçilik Parametreleri'!$B$26,{"Manuel","Robot","HTD","Lazer"},0))),SUM(Q128:U128)*INDEX('İşçilik Parametreleri'!$F$16:$I$20,MATCH(VALUE('İşçilik Parametreleri'!$B$27),'İşçilik Parametreleri'!$E$16:$E$20,0),MATCH('İşçilik Parametreleri'!$B$26,{"Manuel","Robot","HTD","Lazer"},0)))*'İşçilik Parametreleri'!$B$28/1000+O128*IF(OR('İşçilik Parametreleri'!$B$26="Robot",'İşçilik Parametreleri'!$B$26="HTD"),'İşçilik Parametreleri'!$B$30,'İşçilik Parametreleri'!$B$29))*'İşçilik Parametreleri'!$B$31</f>
        <v>4.0999999999999996</v>
      </c>
      <c r="Z128" s="74">
        <f t="shared" si="13"/>
        <v>12.640500000000001</v>
      </c>
      <c r="AA128" s="75" t="s">
        <v>86</v>
      </c>
      <c r="AB128" s="76">
        <v>10000</v>
      </c>
      <c r="AC128" s="77">
        <f>IF(AA128="Kataforez",N(AB128),IF(AA128="Yaş boya",'İşçilik Parametreleri'!$B$6/MAX(1,ROUND(IF(ISNUMBER(AB128),AB128,'İşçilik Parametreleri'!$B$7),0)),0))</f>
        <v>8.0000000000000002E-3</v>
      </c>
      <c r="AD128" s="78">
        <f>W128/100*'İşçilik Parametreleri'!$B$9+X128/100*'İşçilik Parametreleri'!$B$17+Y128/100*'İşçilik Parametreleri'!$B$25</f>
        <v>4.2134999999999998</v>
      </c>
      <c r="AE128" s="78">
        <f t="shared" si="14"/>
        <v>4.2214999999999998</v>
      </c>
      <c r="AF128" s="75">
        <v>5</v>
      </c>
      <c r="AG128" s="84">
        <f>AD128*AF128+IF(AA128="Kataforez",N(AB128)*AF128,IF(AA128="Yaş boya",ROUNDUP(AF128/MAX(1,ROUND(IF(ISNUMBER(AB128),AB128,'İşçilik Parametreleri'!$B$7),0)),0)*'İşçilik Parametreleri'!$B$6,0))</f>
        <v>101.0675</v>
      </c>
      <c r="AH128" s="70">
        <f t="shared" si="15"/>
        <v>1.053375</v>
      </c>
    </row>
    <row r="129" spans="1:34" ht="15" customHeight="1" x14ac:dyDescent="0.25">
      <c r="A129" s="82" t="s">
        <v>565</v>
      </c>
      <c r="B129" s="80" t="s">
        <v>23</v>
      </c>
      <c r="C129" s="81" t="s">
        <v>276</v>
      </c>
      <c r="D129" s="68" t="s">
        <v>107</v>
      </c>
      <c r="E129" s="68" t="s">
        <v>447</v>
      </c>
      <c r="F129" s="68">
        <v>1</v>
      </c>
      <c r="G129" s="68">
        <v>2</v>
      </c>
      <c r="H129" s="68">
        <v>3</v>
      </c>
      <c r="I129" s="68">
        <v>3</v>
      </c>
      <c r="J129" s="68">
        <v>1</v>
      </c>
      <c r="K129" s="70">
        <v>6.4429999999999996</v>
      </c>
      <c r="L129" s="70">
        <v>6.4240000000000004</v>
      </c>
      <c r="M129" s="71">
        <f t="shared" si="12"/>
        <v>-2.948936830668825E-3</v>
      </c>
      <c r="N129" s="68">
        <v>3</v>
      </c>
      <c r="O129" s="68">
        <v>2</v>
      </c>
      <c r="P129" s="68">
        <v>1</v>
      </c>
      <c r="Q129" s="72">
        <v>210</v>
      </c>
      <c r="R129" s="72">
        <v>0</v>
      </c>
      <c r="S129" s="72">
        <v>0</v>
      </c>
      <c r="T129" s="72">
        <v>0</v>
      </c>
      <c r="U129" s="72">
        <v>0</v>
      </c>
      <c r="V129" s="73">
        <f>SUM(Q129:U129)*'İşçilik Parametreleri'!$B$28/1000</f>
        <v>0.21</v>
      </c>
      <c r="W129" s="70">
        <f>SUMIF('Büküm Parçaları'!$A$2:$A$213,A129,'Büküm Parçaları'!$I$2:$I$213)</f>
        <v>5.4049999999999994</v>
      </c>
      <c r="X129" s="70">
        <f>(I129*'İşçilik Parametreleri'!$B$18+IF(L129&gt;'İşçilik Parametreleri'!$B$21,'İşçilik Parametreleri'!$B$20,'İşçilik Parametreleri'!$B$19)+N129*'İşçilik Parametreleri'!$B$22)*'İşçilik Parametreleri'!$B$23</f>
        <v>11.6625</v>
      </c>
      <c r="Y129" s="70">
        <f>(IF('İşçilik Parametreleri'!$B$27="Resme göre",(Q129*INDEX('İşçilik Parametreleri'!$F$16:$I$20,1,MATCH('İşçilik Parametreleri'!$B$26,{"Manuel","Robot","HTD","Lazer"},0))+R129*INDEX('İşçilik Parametreleri'!$F$16:$I$20,2,MATCH('İşçilik Parametreleri'!$B$26,{"Manuel","Robot","HTD","Lazer"},0))+S129*INDEX('İşçilik Parametreleri'!$F$16:$I$20,3,MATCH('İşçilik Parametreleri'!$B$26,{"Manuel","Robot","HTD","Lazer"},0))+T129*INDEX('İşçilik Parametreleri'!$F$16:$I$20,4,MATCH('İşçilik Parametreleri'!$B$26,{"Manuel","Robot","HTD","Lazer"},0))+U129*INDEX('İşçilik Parametreleri'!$F$16:$I$20,5,MATCH('İşçilik Parametreleri'!$B$26,{"Manuel","Robot","HTD","Lazer"},0))),SUM(Q129:U129)*INDEX('İşçilik Parametreleri'!$F$16:$I$20,MATCH(VALUE('İşçilik Parametreleri'!$B$27),'İşçilik Parametreleri'!$E$16:$E$20,0),MATCH('İşçilik Parametreleri'!$B$26,{"Manuel","Robot","HTD","Lazer"},0)))*'İşçilik Parametreleri'!$B$28/1000+O129*IF(OR('İşçilik Parametreleri'!$B$26="Robot",'İşçilik Parametreleri'!$B$26="HTD"),'İşçilik Parametreleri'!$B$30,'İşçilik Parametreleri'!$B$29))*'İşçilik Parametreleri'!$B$31</f>
        <v>3.4699999999999998</v>
      </c>
      <c r="Z129" s="74">
        <f t="shared" si="13"/>
        <v>12.322499999999998</v>
      </c>
      <c r="AA129" s="75" t="s">
        <v>86</v>
      </c>
      <c r="AB129" s="76">
        <v>10000</v>
      </c>
      <c r="AC129" s="77">
        <f>IF(AA129="Kataforez",N(AB129),IF(AA129="Yaş boya",'İşçilik Parametreleri'!$B$6/MAX(1,ROUND(IF(ISNUMBER(AB129),AB129,'İşçilik Parametreleri'!$B$7),0)),0))</f>
        <v>8.0000000000000002E-3</v>
      </c>
      <c r="AD129" s="78">
        <f>W129/100*'İşçilik Parametreleri'!$B$9+X129/100*'İşçilik Parametreleri'!$B$17+Y129/100*'İşçilik Parametreleri'!$B$25</f>
        <v>4.1074999999999999</v>
      </c>
      <c r="AE129" s="78">
        <f t="shared" si="14"/>
        <v>4.1154999999999999</v>
      </c>
      <c r="AF129" s="75">
        <v>5</v>
      </c>
      <c r="AG129" s="84">
        <f>AD129*AF129+IF(AA129="Kataforez",N(AB129)*AF129,IF(AA129="Yaş boya",ROUNDUP(AF129/MAX(1,ROUND(IF(ISNUMBER(AB129),AB129,'İşçilik Parametreleri'!$B$7),0)),0)*'İşçilik Parametreleri'!$B$6,0))</f>
        <v>100.53749999999999</v>
      </c>
      <c r="AH129" s="70">
        <f t="shared" si="15"/>
        <v>1.0268749999999998</v>
      </c>
    </row>
    <row r="130" spans="1:34" ht="15" customHeight="1" x14ac:dyDescent="0.25">
      <c r="A130" s="82" t="s">
        <v>566</v>
      </c>
      <c r="B130" s="80" t="s">
        <v>23</v>
      </c>
      <c r="C130" s="81" t="s">
        <v>278</v>
      </c>
      <c r="D130" s="68" t="s">
        <v>119</v>
      </c>
      <c r="E130" s="68" t="s">
        <v>447</v>
      </c>
      <c r="F130" s="68">
        <v>1</v>
      </c>
      <c r="G130" s="68">
        <v>2</v>
      </c>
      <c r="H130" s="68">
        <v>2</v>
      </c>
      <c r="I130" s="68">
        <v>2</v>
      </c>
      <c r="J130" s="68">
        <v>2</v>
      </c>
      <c r="K130" s="70">
        <v>2.665</v>
      </c>
      <c r="L130" s="70">
        <v>2.6190000000000002</v>
      </c>
      <c r="M130" s="71">
        <f t="shared" si="12"/>
        <v>-1.7260787992495242E-2</v>
      </c>
      <c r="N130" s="68">
        <v>2</v>
      </c>
      <c r="O130" s="68">
        <v>2</v>
      </c>
      <c r="P130" s="68">
        <v>0</v>
      </c>
      <c r="Q130" s="72">
        <v>0</v>
      </c>
      <c r="R130" s="72">
        <v>250</v>
      </c>
      <c r="S130" s="72">
        <v>0</v>
      </c>
      <c r="T130" s="72">
        <v>0</v>
      </c>
      <c r="U130" s="72">
        <v>0</v>
      </c>
      <c r="V130" s="73">
        <f>SUM(Q130:U130)*'İşçilik Parametreleri'!$B$28/1000</f>
        <v>0.25</v>
      </c>
      <c r="W130" s="70">
        <f>SUMIF('Büküm Parçaları'!$A$2:$A$213,A130,'Büküm Parçaları'!$I$2:$I$213)</f>
        <v>6.5549999999999997</v>
      </c>
      <c r="X130" s="70">
        <f>(I130*'İşçilik Parametreleri'!$B$18+IF(L130&gt;'İşçilik Parametreleri'!$B$21,'İşçilik Parametreleri'!$B$20,'İşçilik Parametreleri'!$B$19)+N130*'İşçilik Parametreleri'!$B$22)*'İşçilik Parametreleri'!$B$23</f>
        <v>9.1624999999999996</v>
      </c>
      <c r="Y130" s="70">
        <f>(IF('İşçilik Parametreleri'!$B$27="Resme göre",(Q130*INDEX('İşçilik Parametreleri'!$F$16:$I$20,1,MATCH('İşçilik Parametreleri'!$B$26,{"Manuel","Robot","HTD","Lazer"},0))+R130*INDEX('İşçilik Parametreleri'!$F$16:$I$20,2,MATCH('İşçilik Parametreleri'!$B$26,{"Manuel","Robot","HTD","Lazer"},0))+S130*INDEX('İşçilik Parametreleri'!$F$16:$I$20,3,MATCH('İşçilik Parametreleri'!$B$26,{"Manuel","Robot","HTD","Lazer"},0))+T130*INDEX('İşçilik Parametreleri'!$F$16:$I$20,4,MATCH('İşçilik Parametreleri'!$B$26,{"Manuel","Robot","HTD","Lazer"},0))+U130*INDEX('İşçilik Parametreleri'!$F$16:$I$20,5,MATCH('İşçilik Parametreleri'!$B$26,{"Manuel","Robot","HTD","Lazer"},0))),SUM(Q130:U130)*INDEX('İşçilik Parametreleri'!$F$16:$I$20,MATCH(VALUE('İşçilik Parametreleri'!$B$27),'İşçilik Parametreleri'!$E$16:$E$20,0),MATCH('İşçilik Parametreleri'!$B$26,{"Manuel","Robot","HTD","Lazer"},0)))*'İşçilik Parametreleri'!$B$28/1000+O130*IF(OR('İşçilik Parametreleri'!$B$26="Robot",'İşçilik Parametreleri'!$B$26="HTD"),'İşçilik Parametreleri'!$B$30,'İşçilik Parametreleri'!$B$29))*'İşçilik Parametreleri'!$B$31</f>
        <v>4.75</v>
      </c>
      <c r="Z130" s="74">
        <f t="shared" si="13"/>
        <v>12.2805</v>
      </c>
      <c r="AA130" s="75" t="s">
        <v>86</v>
      </c>
      <c r="AB130" s="76">
        <v>10000</v>
      </c>
      <c r="AC130" s="77">
        <f>IF(AA130="Kataforez",N(AB130),IF(AA130="Yaş boya",'İşçilik Parametreleri'!$B$6/MAX(1,ROUND(IF(ISNUMBER(AB130),AB130,'İşçilik Parametreleri'!$B$7),0)),0))</f>
        <v>8.0000000000000002E-3</v>
      </c>
      <c r="AD130" s="78">
        <f>W130/100*'İşçilik Parametreleri'!$B$9+X130/100*'İşçilik Parametreleri'!$B$17+Y130/100*'İşçilik Parametreleri'!$B$25</f>
        <v>4.0934999999999997</v>
      </c>
      <c r="AE130" s="78">
        <f t="shared" si="14"/>
        <v>4.1014999999999997</v>
      </c>
      <c r="AF130" s="75">
        <v>5</v>
      </c>
      <c r="AG130" s="84">
        <f>AD130*AF130+IF(AA130="Kataforez",N(AB130)*AF130,IF(AA130="Yaş boya",ROUNDUP(AF130/MAX(1,ROUND(IF(ISNUMBER(AB130),AB130,'İşçilik Parametreleri'!$B$7),0)),0)*'İşçilik Parametreleri'!$B$6,0))</f>
        <v>100.4675</v>
      </c>
      <c r="AH130" s="70">
        <f t="shared" si="15"/>
        <v>1.0233750000000001</v>
      </c>
    </row>
    <row r="131" spans="1:34" ht="15" customHeight="1" x14ac:dyDescent="0.25">
      <c r="A131" s="82" t="s">
        <v>567</v>
      </c>
      <c r="B131" s="80" t="s">
        <v>23</v>
      </c>
      <c r="C131" s="81" t="s">
        <v>279</v>
      </c>
      <c r="D131" s="68" t="s">
        <v>130</v>
      </c>
      <c r="E131" s="68" t="s">
        <v>130</v>
      </c>
      <c r="F131" s="68">
        <v>1</v>
      </c>
      <c r="G131" s="68">
        <v>3</v>
      </c>
      <c r="H131" s="68">
        <v>2</v>
      </c>
      <c r="I131" s="68">
        <v>2</v>
      </c>
      <c r="J131" s="68">
        <v>0</v>
      </c>
      <c r="K131" s="70">
        <v>3.79</v>
      </c>
      <c r="L131" s="70">
        <v>3.79</v>
      </c>
      <c r="M131" s="71">
        <f t="shared" si="12"/>
        <v>0</v>
      </c>
      <c r="N131" s="68">
        <v>2</v>
      </c>
      <c r="O131" s="68">
        <v>2</v>
      </c>
      <c r="P131" s="68">
        <v>0</v>
      </c>
      <c r="Q131" s="72">
        <v>160</v>
      </c>
      <c r="R131" s="72">
        <v>0</v>
      </c>
      <c r="S131" s="72">
        <v>0</v>
      </c>
      <c r="T131" s="72">
        <v>0</v>
      </c>
      <c r="U131" s="72">
        <v>0</v>
      </c>
      <c r="V131" s="73">
        <f>SUM(Q131:U131)*'İşçilik Parametreleri'!$B$28/1000</f>
        <v>0.16</v>
      </c>
      <c r="W131" s="70">
        <f>SUMIF('Büküm Parçaları'!$A$2:$A$213,A131,'Büküm Parçaları'!$I$2:$I$213)</f>
        <v>0</v>
      </c>
      <c r="X131" s="70">
        <f>(I131*'İşçilik Parametreleri'!$B$18+IF(L131&gt;'İşçilik Parametreleri'!$B$21,'İşçilik Parametreleri'!$B$20,'İşçilik Parametreleri'!$B$19)+N131*'İşçilik Parametreleri'!$B$22)*'İşçilik Parametreleri'!$B$23</f>
        <v>9.1624999999999996</v>
      </c>
      <c r="Y131" s="70">
        <f>(IF('İşçilik Parametreleri'!$B$27="Resme göre",(Q131*INDEX('İşçilik Parametreleri'!$F$16:$I$20,1,MATCH('İşçilik Parametreleri'!$B$26,{"Manuel","Robot","HTD","Lazer"},0))+R131*INDEX('İşçilik Parametreleri'!$F$16:$I$20,2,MATCH('İşçilik Parametreleri'!$B$26,{"Manuel","Robot","HTD","Lazer"},0))+S131*INDEX('İşçilik Parametreleri'!$F$16:$I$20,3,MATCH('İşçilik Parametreleri'!$B$26,{"Manuel","Robot","HTD","Lazer"},0))+T131*INDEX('İşçilik Parametreleri'!$F$16:$I$20,4,MATCH('İşçilik Parametreleri'!$B$26,{"Manuel","Robot","HTD","Lazer"},0))+U131*INDEX('İşçilik Parametreleri'!$F$16:$I$20,5,MATCH('İşçilik Parametreleri'!$B$26,{"Manuel","Robot","HTD","Lazer"},0))),SUM(Q131:U131)*INDEX('İşçilik Parametreleri'!$F$16:$I$20,MATCH(VALUE('İşçilik Parametreleri'!$B$27),'İşçilik Parametreleri'!$E$16:$E$20,0),MATCH('İşçilik Parametreleri'!$B$26,{"Manuel","Robot","HTD","Lazer"},0)))*'İşçilik Parametreleri'!$B$28/1000+O131*IF(OR('İşçilik Parametreleri'!$B$26="Robot",'İşçilik Parametreleri'!$B$26="HTD"),'İşçilik Parametreleri'!$B$30,'İşçilik Parametreleri'!$B$29))*'İşçilik Parametreleri'!$B$31</f>
        <v>3.12</v>
      </c>
      <c r="Z131" s="74">
        <f t="shared" si="13"/>
        <v>7.3694999999999986</v>
      </c>
      <c r="AA131" s="75" t="s">
        <v>124</v>
      </c>
      <c r="AB131" s="76"/>
      <c r="AC131" s="77">
        <f>IF(AA131="Kataforez",N(AB131),IF(AA131="Yaş boya",'İşçilik Parametreleri'!$B$6/MAX(1,ROUND(IF(ISNUMBER(AB131),AB131,'İşçilik Parametreleri'!$B$7),0)),0))</f>
        <v>0</v>
      </c>
      <c r="AD131" s="78">
        <f>W131/100*'İşçilik Parametreleri'!$B$9+X131/100*'İşçilik Parametreleri'!$B$17+Y131/100*'İşçilik Parametreleri'!$B$25</f>
        <v>2.4565000000000001</v>
      </c>
      <c r="AE131" s="78">
        <f t="shared" si="14"/>
        <v>2.4565000000000001</v>
      </c>
      <c r="AF131" s="75">
        <v>69</v>
      </c>
      <c r="AG131" s="84">
        <f>AD131*AF131+IF(AA131="Kataforez",N(AB131)*AF131,IF(AA131="Yaş boya",ROUNDUP(AF131/MAX(1,ROUND(IF(ISNUMBER(AB131),AB131,'İşçilik Parametreleri'!$B$7),0)),0)*'İşçilik Parametreleri'!$B$6,0))</f>
        <v>169.49850000000001</v>
      </c>
      <c r="AH131" s="70">
        <f t="shared" si="15"/>
        <v>8.4749249999999989</v>
      </c>
    </row>
    <row r="132" spans="1:34" ht="15" customHeight="1" x14ac:dyDescent="0.25">
      <c r="A132" s="82" t="s">
        <v>568</v>
      </c>
      <c r="B132" s="80" t="s">
        <v>23</v>
      </c>
      <c r="C132" s="81" t="s">
        <v>281</v>
      </c>
      <c r="D132" s="68" t="s">
        <v>90</v>
      </c>
      <c r="E132" s="68" t="s">
        <v>130</v>
      </c>
      <c r="F132" s="68">
        <v>1</v>
      </c>
      <c r="G132" s="68">
        <v>4</v>
      </c>
      <c r="H132" s="68">
        <v>2</v>
      </c>
      <c r="I132" s="68">
        <v>2</v>
      </c>
      <c r="J132" s="68">
        <v>0</v>
      </c>
      <c r="K132" s="70"/>
      <c r="L132" s="70">
        <v>3.79</v>
      </c>
      <c r="M132" s="71" t="str">
        <f t="shared" si="12"/>
        <v/>
      </c>
      <c r="N132" s="68">
        <v>2</v>
      </c>
      <c r="O132" s="68">
        <v>2</v>
      </c>
      <c r="P132" s="68">
        <v>0</v>
      </c>
      <c r="Q132" s="72">
        <v>160</v>
      </c>
      <c r="R132" s="72">
        <v>0</v>
      </c>
      <c r="S132" s="72">
        <v>0</v>
      </c>
      <c r="T132" s="72">
        <v>0</v>
      </c>
      <c r="U132" s="72">
        <v>0</v>
      </c>
      <c r="V132" s="73">
        <f>SUM(Q132:U132)*'İşçilik Parametreleri'!$B$28/1000</f>
        <v>0.16</v>
      </c>
      <c r="W132" s="70">
        <f>SUMIF('Büküm Parçaları'!$A$2:$A$213,A132,'Büküm Parçaları'!$I$2:$I$213)</f>
        <v>0</v>
      </c>
      <c r="X132" s="70">
        <f>(I132*'İşçilik Parametreleri'!$B$18+IF(L132&gt;'İşçilik Parametreleri'!$B$21,'İşçilik Parametreleri'!$B$20,'İşçilik Parametreleri'!$B$19)+N132*'İşçilik Parametreleri'!$B$22)*'İşçilik Parametreleri'!$B$23</f>
        <v>9.1624999999999996</v>
      </c>
      <c r="Y132" s="70">
        <f>(IF('İşçilik Parametreleri'!$B$27="Resme göre",(Q132*INDEX('İşçilik Parametreleri'!$F$16:$I$20,1,MATCH('İşçilik Parametreleri'!$B$26,{"Manuel","Robot","HTD","Lazer"},0))+R132*INDEX('İşçilik Parametreleri'!$F$16:$I$20,2,MATCH('İşçilik Parametreleri'!$B$26,{"Manuel","Robot","HTD","Lazer"},0))+S132*INDEX('İşçilik Parametreleri'!$F$16:$I$20,3,MATCH('İşçilik Parametreleri'!$B$26,{"Manuel","Robot","HTD","Lazer"},0))+T132*INDEX('İşçilik Parametreleri'!$F$16:$I$20,4,MATCH('İşçilik Parametreleri'!$B$26,{"Manuel","Robot","HTD","Lazer"},0))+U132*INDEX('İşçilik Parametreleri'!$F$16:$I$20,5,MATCH('İşçilik Parametreleri'!$B$26,{"Manuel","Robot","HTD","Lazer"},0))),SUM(Q132:U132)*INDEX('İşçilik Parametreleri'!$F$16:$I$20,MATCH(VALUE('İşçilik Parametreleri'!$B$27),'İşçilik Parametreleri'!$E$16:$E$20,0),MATCH('İşçilik Parametreleri'!$B$26,{"Manuel","Robot","HTD","Lazer"},0)))*'İşçilik Parametreleri'!$B$28/1000+O132*IF(OR('İşçilik Parametreleri'!$B$26="Robot",'İşçilik Parametreleri'!$B$26="HTD"),'İşçilik Parametreleri'!$B$30,'İşçilik Parametreleri'!$B$29))*'İşçilik Parametreleri'!$B$31</f>
        <v>3.12</v>
      </c>
      <c r="Z132" s="74">
        <f t="shared" si="13"/>
        <v>7.3694999999999986</v>
      </c>
      <c r="AA132" s="75" t="s">
        <v>124</v>
      </c>
      <c r="AB132" s="76"/>
      <c r="AC132" s="77">
        <f>IF(AA132="Kataforez",N(AB132),IF(AA132="Yaş boya",'İşçilik Parametreleri'!$B$6/MAX(1,ROUND(IF(ISNUMBER(AB132),AB132,'İşçilik Parametreleri'!$B$7),0)),0))</f>
        <v>0</v>
      </c>
      <c r="AD132" s="78">
        <f>W132/100*'İşçilik Parametreleri'!$B$9+X132/100*'İşçilik Parametreleri'!$B$17+Y132/100*'İşçilik Parametreleri'!$B$25</f>
        <v>2.4565000000000001</v>
      </c>
      <c r="AE132" s="78">
        <f t="shared" si="14"/>
        <v>2.4565000000000001</v>
      </c>
      <c r="AF132" s="75">
        <v>69</v>
      </c>
      <c r="AG132" s="84">
        <f>AD132*AF132+IF(AA132="Kataforez",N(AB132)*AF132,IF(AA132="Yaş boya",ROUNDUP(AF132/MAX(1,ROUND(IF(ISNUMBER(AB132),AB132,'İşçilik Parametreleri'!$B$7),0)),0)*'İşçilik Parametreleri'!$B$6,0))</f>
        <v>169.49850000000001</v>
      </c>
      <c r="AH132" s="70">
        <f t="shared" si="15"/>
        <v>8.4749249999999989</v>
      </c>
    </row>
    <row r="133" spans="1:34" ht="15" customHeight="1" x14ac:dyDescent="0.25">
      <c r="A133" s="82" t="s">
        <v>569</v>
      </c>
      <c r="B133" s="80" t="s">
        <v>23</v>
      </c>
      <c r="C133" s="81" t="s">
        <v>282</v>
      </c>
      <c r="D133" s="68" t="s">
        <v>117</v>
      </c>
      <c r="E133" s="68" t="s">
        <v>447</v>
      </c>
      <c r="F133" s="68">
        <v>1</v>
      </c>
      <c r="G133" s="68">
        <v>2</v>
      </c>
      <c r="H133" s="68">
        <v>2</v>
      </c>
      <c r="I133" s="68">
        <v>2</v>
      </c>
      <c r="J133" s="68">
        <v>1</v>
      </c>
      <c r="K133" s="70">
        <v>4.4889999999999999</v>
      </c>
      <c r="L133" s="70">
        <v>4.4770000000000003</v>
      </c>
      <c r="M133" s="71">
        <f t="shared" si="12"/>
        <v>-2.6732011583870722E-3</v>
      </c>
      <c r="N133" s="68">
        <v>2</v>
      </c>
      <c r="O133" s="68">
        <v>2</v>
      </c>
      <c r="P133" s="68">
        <v>0</v>
      </c>
      <c r="Q133" s="72">
        <v>350</v>
      </c>
      <c r="R133" s="72">
        <v>0</v>
      </c>
      <c r="S133" s="72">
        <v>0</v>
      </c>
      <c r="T133" s="72">
        <v>0</v>
      </c>
      <c r="U133" s="72">
        <v>0</v>
      </c>
      <c r="V133" s="73">
        <f>SUM(Q133:U133)*'İşçilik Parametreleri'!$B$28/1000</f>
        <v>0.35</v>
      </c>
      <c r="W133" s="70">
        <f>SUMIF('Büküm Parçaları'!$A$2:$A$213,A133,'Büküm Parçaları'!$I$2:$I$213)</f>
        <v>5.4049999999999994</v>
      </c>
      <c r="X133" s="70">
        <f>(I133*'İşçilik Parametreleri'!$B$18+IF(L133&gt;'İşçilik Parametreleri'!$B$21,'İşçilik Parametreleri'!$B$20,'İşçilik Parametreleri'!$B$19)+N133*'İşçilik Parametreleri'!$B$22)*'İşçilik Parametreleri'!$B$23</f>
        <v>9.1624999999999996</v>
      </c>
      <c r="Y133" s="70">
        <f>(IF('İşçilik Parametreleri'!$B$27="Resme göre",(Q133*INDEX('İşçilik Parametreleri'!$F$16:$I$20,1,MATCH('İşçilik Parametreleri'!$B$26,{"Manuel","Robot","HTD","Lazer"},0))+R133*INDEX('İşçilik Parametreleri'!$F$16:$I$20,2,MATCH('İşçilik Parametreleri'!$B$26,{"Manuel","Robot","HTD","Lazer"},0))+S133*INDEX('İşçilik Parametreleri'!$F$16:$I$20,3,MATCH('İşçilik Parametreleri'!$B$26,{"Manuel","Robot","HTD","Lazer"},0))+T133*INDEX('İşçilik Parametreleri'!$F$16:$I$20,4,MATCH('İşçilik Parametreleri'!$B$26,{"Manuel","Robot","HTD","Lazer"},0))+U133*INDEX('İşçilik Parametreleri'!$F$16:$I$20,5,MATCH('İşçilik Parametreleri'!$B$26,{"Manuel","Robot","HTD","Lazer"},0))),SUM(Q133:U133)*INDEX('İşçilik Parametreleri'!$F$16:$I$20,MATCH(VALUE('İşçilik Parametreleri'!$B$27),'İşçilik Parametreleri'!$E$16:$E$20,0),MATCH('İşçilik Parametreleri'!$B$26,{"Manuel","Robot","HTD","Lazer"},0)))*'İşçilik Parametreleri'!$B$28/1000+O133*IF(OR('İşçilik Parametreleri'!$B$26="Robot",'İşçilik Parametreleri'!$B$26="HTD"),'İşçilik Parametreleri'!$B$30,'İşçilik Parametreleri'!$B$29))*'İşçilik Parametreleri'!$B$31</f>
        <v>4.45</v>
      </c>
      <c r="Z133" s="74">
        <f t="shared" si="13"/>
        <v>11.410499999999999</v>
      </c>
      <c r="AA133" s="75" t="s">
        <v>86</v>
      </c>
      <c r="AB133" s="76">
        <v>10000</v>
      </c>
      <c r="AC133" s="77">
        <f>IF(AA133="Kataforez",N(AB133),IF(AA133="Yaş boya",'İşçilik Parametreleri'!$B$6/MAX(1,ROUND(IF(ISNUMBER(AB133),AB133,'İşçilik Parametreleri'!$B$7),0)),0))</f>
        <v>8.0000000000000002E-3</v>
      </c>
      <c r="AD133" s="78">
        <f>W133/100*'İşçilik Parametreleri'!$B$9+X133/100*'İşçilik Parametreleri'!$B$17+Y133/100*'İşçilik Parametreleri'!$B$25</f>
        <v>3.8035000000000001</v>
      </c>
      <c r="AE133" s="78">
        <f t="shared" si="14"/>
        <v>3.8115000000000001</v>
      </c>
      <c r="AF133" s="75">
        <v>5</v>
      </c>
      <c r="AG133" s="84">
        <f>AD133*AF133+IF(AA133="Kataforez",N(AB133)*AF133,IF(AA133="Yaş boya",ROUNDUP(AF133/MAX(1,ROUND(IF(ISNUMBER(AB133),AB133,'İşçilik Parametreleri'!$B$7),0)),0)*'İşçilik Parametreleri'!$B$6,0))</f>
        <v>99.017499999999998</v>
      </c>
      <c r="AH133" s="70">
        <f t="shared" si="15"/>
        <v>0.95087499999999991</v>
      </c>
    </row>
    <row r="134" spans="1:34" ht="15" customHeight="1" x14ac:dyDescent="0.25">
      <c r="A134" s="82" t="s">
        <v>570</v>
      </c>
      <c r="B134" s="80" t="s">
        <v>23</v>
      </c>
      <c r="C134" s="81" t="s">
        <v>283</v>
      </c>
      <c r="D134" s="68" t="s">
        <v>107</v>
      </c>
      <c r="E134" s="68" t="s">
        <v>442</v>
      </c>
      <c r="F134" s="68">
        <v>1</v>
      </c>
      <c r="G134" s="68">
        <v>2</v>
      </c>
      <c r="H134" s="68">
        <v>3</v>
      </c>
      <c r="I134" s="68">
        <v>3</v>
      </c>
      <c r="J134" s="68">
        <v>1</v>
      </c>
      <c r="K134" s="70">
        <v>5.2949999999999999</v>
      </c>
      <c r="L134" s="70">
        <v>5.0419999999999998</v>
      </c>
      <c r="M134" s="71">
        <f t="shared" ref="M134:M165" si="16">IF(ISNUMBER(K134),(L134-K134)/K134,"")</f>
        <v>-4.7780925401322026E-2</v>
      </c>
      <c r="N134" s="68">
        <v>4</v>
      </c>
      <c r="O134" s="68">
        <v>4</v>
      </c>
      <c r="P134" s="68">
        <v>0</v>
      </c>
      <c r="Q134" s="72">
        <v>0</v>
      </c>
      <c r="R134" s="72">
        <v>0</v>
      </c>
      <c r="S134" s="72">
        <v>0</v>
      </c>
      <c r="T134" s="72">
        <v>0</v>
      </c>
      <c r="U134" s="72">
        <v>240</v>
      </c>
      <c r="V134" s="73">
        <f>SUM(Q134:U134)*'İşçilik Parametreleri'!$B$28/1000</f>
        <v>0.24</v>
      </c>
      <c r="W134" s="70">
        <f>SUMIF('Büküm Parçaları'!$A$2:$A$213,A134,'Büküm Parçaları'!$I$2:$I$213)</f>
        <v>5.4049999999999994</v>
      </c>
      <c r="X134" s="70">
        <f>(I134*'İşçilik Parametreleri'!$B$18+IF(L134&gt;'İşçilik Parametreleri'!$B$21,'İşçilik Parametreleri'!$B$20,'İşçilik Parametreleri'!$B$19)+N134*'İşçilik Parametreleri'!$B$22)*'İşçilik Parametreleri'!$B$23</f>
        <v>12.9125</v>
      </c>
      <c r="Y134" s="70">
        <f>(IF('İşçilik Parametreleri'!$B$27="Resme göre",(Q134*INDEX('İşçilik Parametreleri'!$F$16:$I$20,1,MATCH('İşçilik Parametreleri'!$B$26,{"Manuel","Robot","HTD","Lazer"},0))+R134*INDEX('İşçilik Parametreleri'!$F$16:$I$20,2,MATCH('İşçilik Parametreleri'!$B$26,{"Manuel","Robot","HTD","Lazer"},0))+S134*INDEX('İşçilik Parametreleri'!$F$16:$I$20,3,MATCH('İşçilik Parametreleri'!$B$26,{"Manuel","Robot","HTD","Lazer"},0))+T134*INDEX('İşçilik Parametreleri'!$F$16:$I$20,4,MATCH('İşçilik Parametreleri'!$B$26,{"Manuel","Robot","HTD","Lazer"},0))+U134*INDEX('İşçilik Parametreleri'!$F$16:$I$20,5,MATCH('İşçilik Parametreleri'!$B$26,{"Manuel","Robot","HTD","Lazer"},0))),SUM(Q134:U134)*INDEX('İşçilik Parametreleri'!$F$16:$I$20,MATCH(VALUE('İşçilik Parametreleri'!$B$27),'İşçilik Parametreleri'!$E$16:$E$20,0),MATCH('İşçilik Parametreleri'!$B$26,{"Manuel","Robot","HTD","Lazer"},0)))*'İşçilik Parametreleri'!$B$28/1000+O134*IF(OR('İşçilik Parametreleri'!$B$26="Robot",'İşçilik Parametreleri'!$B$26="HTD"),'İşçilik Parametreleri'!$B$30,'İşçilik Parametreleri'!$B$29))*'İşçilik Parametreleri'!$B$31</f>
        <v>11.440000000000001</v>
      </c>
      <c r="Z134" s="74">
        <f t="shared" ref="Z134:Z165" si="17">(W134+X134+Y134)*0.6</f>
        <v>17.854499999999998</v>
      </c>
      <c r="AA134" s="75" t="s">
        <v>86</v>
      </c>
      <c r="AB134" s="76">
        <v>10000</v>
      </c>
      <c r="AC134" s="77">
        <f>IF(AA134="Kataforez",N(AB134),IF(AA134="Yaş boya",'İşçilik Parametreleri'!$B$6/MAX(1,ROUND(IF(ISNUMBER(AB134),AB134,'İşçilik Parametreleri'!$B$7),0)),0))</f>
        <v>8.0000000000000002E-3</v>
      </c>
      <c r="AD134" s="78">
        <f>W134/100*'İşçilik Parametreleri'!$B$9+X134/100*'İşçilik Parametreleri'!$B$17+Y134/100*'İşçilik Parametreleri'!$B$25</f>
        <v>5.9514999999999993</v>
      </c>
      <c r="AE134" s="78">
        <f t="shared" ref="AE134:AE165" si="18">AD134+AC134</f>
        <v>5.9594999999999994</v>
      </c>
      <c r="AF134" s="75">
        <v>3</v>
      </c>
      <c r="AG134" s="84">
        <f>AD134*AF134+IF(AA134="Kataforez",N(AB134)*AF134,IF(AA134="Yaş boya",ROUNDUP(AF134/MAX(1,ROUND(IF(ISNUMBER(AB134),AB134,'İşçilik Parametreleri'!$B$7),0)),0)*'İşçilik Parametreleri'!$B$6,0))</f>
        <v>97.854500000000002</v>
      </c>
      <c r="AH134" s="70">
        <f t="shared" ref="AH134:AH165" si="19">(W134+X134+Y134)*AF134/100</f>
        <v>0.8927250000000001</v>
      </c>
    </row>
    <row r="135" spans="1:34" ht="15" customHeight="1" x14ac:dyDescent="0.25">
      <c r="A135" s="82" t="s">
        <v>571</v>
      </c>
      <c r="B135" s="80" t="s">
        <v>23</v>
      </c>
      <c r="C135" s="81" t="s">
        <v>284</v>
      </c>
      <c r="D135" s="68" t="s">
        <v>113</v>
      </c>
      <c r="E135" s="68" t="s">
        <v>442</v>
      </c>
      <c r="F135" s="68">
        <v>1</v>
      </c>
      <c r="G135" s="68">
        <v>2</v>
      </c>
      <c r="H135" s="68">
        <v>3</v>
      </c>
      <c r="I135" s="68">
        <v>3</v>
      </c>
      <c r="J135" s="68">
        <v>0</v>
      </c>
      <c r="K135" s="70">
        <v>4.5389999999999997</v>
      </c>
      <c r="L135" s="70">
        <v>4.5389999999999997</v>
      </c>
      <c r="M135" s="71">
        <f t="shared" si="16"/>
        <v>0</v>
      </c>
      <c r="N135" s="68">
        <v>3</v>
      </c>
      <c r="O135" s="68">
        <v>3</v>
      </c>
      <c r="P135" s="68">
        <v>0</v>
      </c>
      <c r="Q135" s="72">
        <v>420</v>
      </c>
      <c r="R135" s="72">
        <v>0</v>
      </c>
      <c r="S135" s="72">
        <v>0</v>
      </c>
      <c r="T135" s="72">
        <v>0</v>
      </c>
      <c r="U135" s="72">
        <v>0</v>
      </c>
      <c r="V135" s="73">
        <f>SUM(Q135:U135)*'İşçilik Parametreleri'!$B$28/1000</f>
        <v>0.42</v>
      </c>
      <c r="W135" s="70">
        <f>SUMIF('Büküm Parçaları'!$A$2:$A$213,A135,'Büküm Parçaları'!$I$2:$I$213)</f>
        <v>0</v>
      </c>
      <c r="X135" s="70">
        <f>(I135*'İşçilik Parametreleri'!$B$18+IF(L135&gt;'İşçilik Parametreleri'!$B$21,'İşçilik Parametreleri'!$B$20,'İşçilik Parametreleri'!$B$19)+N135*'İşçilik Parametreleri'!$B$22)*'İşçilik Parametreleri'!$B$23</f>
        <v>11.6625</v>
      </c>
      <c r="Y135" s="70">
        <f>(IF('İşçilik Parametreleri'!$B$27="Resme göre",(Q135*INDEX('İşçilik Parametreleri'!$F$16:$I$20,1,MATCH('İşçilik Parametreleri'!$B$26,{"Manuel","Robot","HTD","Lazer"},0))+R135*INDEX('İşçilik Parametreleri'!$F$16:$I$20,2,MATCH('İşçilik Parametreleri'!$B$26,{"Manuel","Robot","HTD","Lazer"},0))+S135*INDEX('İşçilik Parametreleri'!$F$16:$I$20,3,MATCH('İşçilik Parametreleri'!$B$26,{"Manuel","Robot","HTD","Lazer"},0))+T135*INDEX('İşçilik Parametreleri'!$F$16:$I$20,4,MATCH('İşçilik Parametreleri'!$B$26,{"Manuel","Robot","HTD","Lazer"},0))+U135*INDEX('İşçilik Parametreleri'!$F$16:$I$20,5,MATCH('İşçilik Parametreleri'!$B$26,{"Manuel","Robot","HTD","Lazer"},0))),SUM(Q135:U135)*INDEX('İşçilik Parametreleri'!$F$16:$I$20,MATCH(VALUE('İşçilik Parametreleri'!$B$27),'İşçilik Parametreleri'!$E$16:$E$20,0),MATCH('İşçilik Parametreleri'!$B$26,{"Manuel","Robot","HTD","Lazer"},0)))*'İşçilik Parametreleri'!$B$28/1000+O135*IF(OR('İşçilik Parametreleri'!$B$26="Robot",'İşçilik Parametreleri'!$B$26="HTD"),'İşçilik Parametreleri'!$B$30,'İşçilik Parametreleri'!$B$29))*'İşçilik Parametreleri'!$B$31</f>
        <v>5.9399999999999995</v>
      </c>
      <c r="Z135" s="74">
        <f t="shared" si="17"/>
        <v>10.561499999999999</v>
      </c>
      <c r="AA135" s="75" t="s">
        <v>86</v>
      </c>
      <c r="AB135" s="76">
        <v>10000</v>
      </c>
      <c r="AC135" s="77">
        <f>IF(AA135="Kataforez",N(AB135),IF(AA135="Yaş boya",'İşçilik Parametreleri'!$B$6/MAX(1,ROUND(IF(ISNUMBER(AB135),AB135,'İşçilik Parametreleri'!$B$7),0)),0))</f>
        <v>8.0000000000000002E-3</v>
      </c>
      <c r="AD135" s="78">
        <f>W135/100*'İşçilik Parametreleri'!$B$9+X135/100*'İşçilik Parametreleri'!$B$17+Y135/100*'İşçilik Parametreleri'!$B$25</f>
        <v>3.5205000000000002</v>
      </c>
      <c r="AE135" s="78">
        <f t="shared" si="18"/>
        <v>3.5285000000000002</v>
      </c>
      <c r="AF135" s="75">
        <v>5</v>
      </c>
      <c r="AG135" s="84">
        <f>AD135*AF135+IF(AA135="Kataforez",N(AB135)*AF135,IF(AA135="Yaş boya",ROUNDUP(AF135/MAX(1,ROUND(IF(ISNUMBER(AB135),AB135,'İşçilik Parametreleri'!$B$7),0)),0)*'İşçilik Parametreleri'!$B$6,0))</f>
        <v>97.602499999999992</v>
      </c>
      <c r="AH135" s="70">
        <f t="shared" si="19"/>
        <v>0.88012499999999994</v>
      </c>
    </row>
    <row r="136" spans="1:34" ht="15" customHeight="1" x14ac:dyDescent="0.25">
      <c r="A136" s="67" t="s">
        <v>572</v>
      </c>
      <c r="B136" s="68" t="s">
        <v>439</v>
      </c>
      <c r="C136" s="69" t="s">
        <v>286</v>
      </c>
      <c r="D136" s="68" t="s">
        <v>119</v>
      </c>
      <c r="E136" s="68" t="s">
        <v>442</v>
      </c>
      <c r="F136" s="68">
        <v>1</v>
      </c>
      <c r="G136" s="68">
        <v>2</v>
      </c>
      <c r="H136" s="68">
        <v>6</v>
      </c>
      <c r="I136" s="68">
        <v>6</v>
      </c>
      <c r="J136" s="68">
        <v>8</v>
      </c>
      <c r="K136" s="70">
        <v>19.597999999999999</v>
      </c>
      <c r="L136" s="70">
        <v>19.655000000000001</v>
      </c>
      <c r="M136" s="71">
        <f t="shared" si="16"/>
        <v>2.9084600469436762E-3</v>
      </c>
      <c r="N136" s="68">
        <v>12</v>
      </c>
      <c r="O136" s="68">
        <v>12</v>
      </c>
      <c r="P136" s="68">
        <v>0</v>
      </c>
      <c r="Q136" s="72">
        <v>4244</v>
      </c>
      <c r="R136" s="72">
        <v>0</v>
      </c>
      <c r="S136" s="72">
        <v>0</v>
      </c>
      <c r="T136" s="72">
        <v>0</v>
      </c>
      <c r="U136" s="72">
        <v>0</v>
      </c>
      <c r="V136" s="73">
        <f>SUM(Q136:U136)*'İşçilik Parametreleri'!$B$28/1000</f>
        <v>4.2439999999999998</v>
      </c>
      <c r="W136" s="70">
        <f>SUMIF('Büküm Parçaları'!$A$2:$A$213,A136,'Büküm Parçaları'!$I$2:$I$213)</f>
        <v>17.709999999999997</v>
      </c>
      <c r="X136" s="70">
        <f>(I136*'İşçilik Parametreleri'!$B$18+IF(L136&gt;'İşçilik Parametreleri'!$B$21,'İşçilik Parametreleri'!$B$20,'İşçilik Parametreleri'!$B$19)+N136*'İşçilik Parametreleri'!$B$22)*'İşçilik Parametreleri'!$B$23</f>
        <v>26.662499999999998</v>
      </c>
      <c r="Y136" s="70">
        <f>(IF('İşçilik Parametreleri'!$B$27="Resme göre",(Q136*INDEX('İşçilik Parametreleri'!$F$16:$I$20,1,MATCH('İşçilik Parametreleri'!$B$26,{"Manuel","Robot","HTD","Lazer"},0))+R136*INDEX('İşçilik Parametreleri'!$F$16:$I$20,2,MATCH('İşçilik Parametreleri'!$B$26,{"Manuel","Robot","HTD","Lazer"},0))+S136*INDEX('İşçilik Parametreleri'!$F$16:$I$20,3,MATCH('İşçilik Parametreleri'!$B$26,{"Manuel","Robot","HTD","Lazer"},0))+T136*INDEX('İşçilik Parametreleri'!$F$16:$I$20,4,MATCH('İşçilik Parametreleri'!$B$26,{"Manuel","Robot","HTD","Lazer"},0))+U136*INDEX('İşçilik Parametreleri'!$F$16:$I$20,5,MATCH('İşçilik Parametreleri'!$B$26,{"Manuel","Robot","HTD","Lazer"},0))),SUM(Q136:U136)*INDEX('İşçilik Parametreleri'!$F$16:$I$20,MATCH(VALUE('İşçilik Parametreleri'!$B$27),'İşçilik Parametreleri'!$E$16:$E$20,0),MATCH('İşçilik Parametreleri'!$B$26,{"Manuel","Robot","HTD","Lazer"},0)))*'İşçilik Parametreleri'!$B$28/1000+O136*IF(OR('İşçilik Parametreleri'!$B$26="Robot",'İşçilik Parametreleri'!$B$26="HTD"),'İşçilik Parametreleri'!$B$30,'İşçilik Parametreleri'!$B$29))*'İşçilik Parametreleri'!$B$31</f>
        <v>41.707999999999998</v>
      </c>
      <c r="Z136" s="74">
        <f t="shared" si="17"/>
        <v>51.648299999999999</v>
      </c>
      <c r="AA136" s="75" t="s">
        <v>86</v>
      </c>
      <c r="AB136" s="76">
        <v>10000</v>
      </c>
      <c r="AC136" s="77">
        <f>IF(AA136="Kataforez",N(AB136),IF(AA136="Yaş boya",'İşçilik Parametreleri'!$B$6/MAX(1,ROUND(IF(ISNUMBER(AB136),AB136,'İşçilik Parametreleri'!$B$7),0)),0))</f>
        <v>8.0000000000000002E-3</v>
      </c>
      <c r="AD136" s="78">
        <f>W136/100*'İşçilik Parametreleri'!$B$9+X136/100*'İşçilik Parametreleri'!$B$17+Y136/100*'İşçilik Parametreleri'!$B$25</f>
        <v>17.216099999999997</v>
      </c>
      <c r="AE136" s="78">
        <f t="shared" si="18"/>
        <v>17.224099999999996</v>
      </c>
      <c r="AF136" s="75">
        <v>1</v>
      </c>
      <c r="AG136" s="84">
        <f>AD136*AF136+IF(AA136="Kataforez",N(AB136)*AF136,IF(AA136="Yaş boya",ROUNDUP(AF136/MAX(1,ROUND(IF(ISNUMBER(AB136),AB136,'İşçilik Parametreleri'!$B$7),0)),0)*'İşçilik Parametreleri'!$B$6,0))</f>
        <v>97.216099999999997</v>
      </c>
      <c r="AH136" s="70">
        <f t="shared" si="19"/>
        <v>0.86080500000000004</v>
      </c>
    </row>
    <row r="137" spans="1:34" ht="15" customHeight="1" x14ac:dyDescent="0.25">
      <c r="A137" s="82" t="s">
        <v>573</v>
      </c>
      <c r="B137" s="80" t="s">
        <v>23</v>
      </c>
      <c r="C137" s="81" t="s">
        <v>287</v>
      </c>
      <c r="D137" s="68" t="s">
        <v>99</v>
      </c>
      <c r="E137" s="68" t="s">
        <v>442</v>
      </c>
      <c r="F137" s="68">
        <v>1</v>
      </c>
      <c r="G137" s="68">
        <v>2</v>
      </c>
      <c r="H137" s="68">
        <v>2</v>
      </c>
      <c r="I137" s="68">
        <v>2</v>
      </c>
      <c r="J137" s="68">
        <v>1</v>
      </c>
      <c r="K137" s="70">
        <v>2.7519999999999998</v>
      </c>
      <c r="L137" s="70">
        <v>2.7519999999999998</v>
      </c>
      <c r="M137" s="71">
        <f t="shared" si="16"/>
        <v>0</v>
      </c>
      <c r="N137" s="68">
        <v>1</v>
      </c>
      <c r="O137" s="68">
        <v>1</v>
      </c>
      <c r="P137" s="68">
        <v>0</v>
      </c>
      <c r="Q137" s="72">
        <v>286</v>
      </c>
      <c r="R137" s="72">
        <v>0</v>
      </c>
      <c r="S137" s="72">
        <v>0</v>
      </c>
      <c r="T137" s="72">
        <v>0</v>
      </c>
      <c r="U137" s="72">
        <v>0</v>
      </c>
      <c r="V137" s="73">
        <f>SUM(Q137:U137)*'İşçilik Parametreleri'!$B$28/1000</f>
        <v>0.28599999999999998</v>
      </c>
      <c r="W137" s="70">
        <f>SUMIF('Büküm Parçaları'!$A$2:$A$213,A137,'Büküm Parçaları'!$I$2:$I$213)</f>
        <v>5.4049999999999994</v>
      </c>
      <c r="X137" s="70">
        <f>(I137*'İşçilik Parametreleri'!$B$18+IF(L137&gt;'İşçilik Parametreleri'!$B$21,'İşçilik Parametreleri'!$B$20,'İşçilik Parametreleri'!$B$19)+N137*'İşçilik Parametreleri'!$B$22)*'İşçilik Parametreleri'!$B$23</f>
        <v>7.9124999999999996</v>
      </c>
      <c r="Y137" s="70">
        <f>(IF('İşçilik Parametreleri'!$B$27="Resme göre",(Q137*INDEX('İşçilik Parametreleri'!$F$16:$I$20,1,MATCH('İşçilik Parametreleri'!$B$26,{"Manuel","Robot","HTD","Lazer"},0))+R137*INDEX('İşçilik Parametreleri'!$F$16:$I$20,2,MATCH('İşçilik Parametreleri'!$B$26,{"Manuel","Robot","HTD","Lazer"},0))+S137*INDEX('İşçilik Parametreleri'!$F$16:$I$20,3,MATCH('İşçilik Parametreleri'!$B$26,{"Manuel","Robot","HTD","Lazer"},0))+T137*INDEX('İşçilik Parametreleri'!$F$16:$I$20,4,MATCH('İşçilik Parametreleri'!$B$26,{"Manuel","Robot","HTD","Lazer"},0))+U137*INDEX('İşçilik Parametreleri'!$F$16:$I$20,5,MATCH('İşçilik Parametreleri'!$B$26,{"Manuel","Robot","HTD","Lazer"},0))),SUM(Q137:U137)*INDEX('İşçilik Parametreleri'!$F$16:$I$20,MATCH(VALUE('İşçilik Parametreleri'!$B$27),'İşçilik Parametreleri'!$E$16:$E$20,0),MATCH('İşçilik Parametreleri'!$B$26,{"Manuel","Robot","HTD","Lazer"},0)))*'İşçilik Parametreleri'!$B$28/1000+O137*IF(OR('İşçilik Parametreleri'!$B$26="Robot",'İşçilik Parametreleri'!$B$26="HTD"),'İşçilik Parametreleri'!$B$30,'İşçilik Parametreleri'!$B$29))*'İşçilik Parametreleri'!$B$31</f>
        <v>3.0019999999999998</v>
      </c>
      <c r="Z137" s="74">
        <f t="shared" si="17"/>
        <v>9.7916999999999987</v>
      </c>
      <c r="AA137" s="75" t="s">
        <v>86</v>
      </c>
      <c r="AB137" s="76">
        <v>10000</v>
      </c>
      <c r="AC137" s="77">
        <f>IF(AA137="Kataforez",N(AB137),IF(AA137="Yaş boya",'İşçilik Parametreleri'!$B$6/MAX(1,ROUND(IF(ISNUMBER(AB137),AB137,'İşçilik Parametreleri'!$B$7),0)),0))</f>
        <v>8.0000000000000002E-3</v>
      </c>
      <c r="AD137" s="78">
        <f>W137/100*'İşçilik Parametreleri'!$B$9+X137/100*'İşçilik Parametreleri'!$B$17+Y137/100*'İşçilik Parametreleri'!$B$25</f>
        <v>3.2639</v>
      </c>
      <c r="AE137" s="78">
        <f t="shared" si="18"/>
        <v>3.2719</v>
      </c>
      <c r="AF137" s="75">
        <v>5</v>
      </c>
      <c r="AG137" s="84">
        <f>AD137*AF137+IF(AA137="Kataforez",N(AB137)*AF137,IF(AA137="Yaş boya",ROUNDUP(AF137/MAX(1,ROUND(IF(ISNUMBER(AB137),AB137,'İşçilik Parametreleri'!$B$7),0)),0)*'İşçilik Parametreleri'!$B$6,0))</f>
        <v>96.319500000000005</v>
      </c>
      <c r="AH137" s="70">
        <f t="shared" si="19"/>
        <v>0.81597500000000001</v>
      </c>
    </row>
    <row r="138" spans="1:34" ht="15" customHeight="1" x14ac:dyDescent="0.25">
      <c r="A138" s="82" t="s">
        <v>574</v>
      </c>
      <c r="B138" s="80" t="s">
        <v>23</v>
      </c>
      <c r="C138" s="81" t="s">
        <v>288</v>
      </c>
      <c r="D138" s="68" t="s">
        <v>99</v>
      </c>
      <c r="E138" s="68" t="s">
        <v>442</v>
      </c>
      <c r="F138" s="68">
        <v>1</v>
      </c>
      <c r="G138" s="68">
        <v>2</v>
      </c>
      <c r="H138" s="68">
        <v>2</v>
      </c>
      <c r="I138" s="68">
        <v>2</v>
      </c>
      <c r="J138" s="68">
        <v>1</v>
      </c>
      <c r="K138" s="70">
        <v>2.7519999999999998</v>
      </c>
      <c r="L138" s="70">
        <v>2.7519999999999998</v>
      </c>
      <c r="M138" s="71">
        <f t="shared" si="16"/>
        <v>0</v>
      </c>
      <c r="N138" s="68">
        <v>1</v>
      </c>
      <c r="O138" s="68">
        <v>1</v>
      </c>
      <c r="P138" s="68">
        <v>0</v>
      </c>
      <c r="Q138" s="72">
        <v>286</v>
      </c>
      <c r="R138" s="72">
        <v>0</v>
      </c>
      <c r="S138" s="72">
        <v>0</v>
      </c>
      <c r="T138" s="72">
        <v>0</v>
      </c>
      <c r="U138" s="72">
        <v>0</v>
      </c>
      <c r="V138" s="73">
        <f>SUM(Q138:U138)*'İşçilik Parametreleri'!$B$28/1000</f>
        <v>0.28599999999999998</v>
      </c>
      <c r="W138" s="70">
        <f>SUMIF('Büküm Parçaları'!$A$2:$A$213,A138,'Büküm Parçaları'!$I$2:$I$213)</f>
        <v>5.4049999999999994</v>
      </c>
      <c r="X138" s="70">
        <f>(I138*'İşçilik Parametreleri'!$B$18+IF(L138&gt;'İşçilik Parametreleri'!$B$21,'İşçilik Parametreleri'!$B$20,'İşçilik Parametreleri'!$B$19)+N138*'İşçilik Parametreleri'!$B$22)*'İşçilik Parametreleri'!$B$23</f>
        <v>7.9124999999999996</v>
      </c>
      <c r="Y138" s="70">
        <f>(IF('İşçilik Parametreleri'!$B$27="Resme göre",(Q138*INDEX('İşçilik Parametreleri'!$F$16:$I$20,1,MATCH('İşçilik Parametreleri'!$B$26,{"Manuel","Robot","HTD","Lazer"},0))+R138*INDEX('İşçilik Parametreleri'!$F$16:$I$20,2,MATCH('İşçilik Parametreleri'!$B$26,{"Manuel","Robot","HTD","Lazer"},0))+S138*INDEX('İşçilik Parametreleri'!$F$16:$I$20,3,MATCH('İşçilik Parametreleri'!$B$26,{"Manuel","Robot","HTD","Lazer"},0))+T138*INDEX('İşçilik Parametreleri'!$F$16:$I$20,4,MATCH('İşçilik Parametreleri'!$B$26,{"Manuel","Robot","HTD","Lazer"},0))+U138*INDEX('İşçilik Parametreleri'!$F$16:$I$20,5,MATCH('İşçilik Parametreleri'!$B$26,{"Manuel","Robot","HTD","Lazer"},0))),SUM(Q138:U138)*INDEX('İşçilik Parametreleri'!$F$16:$I$20,MATCH(VALUE('İşçilik Parametreleri'!$B$27),'İşçilik Parametreleri'!$E$16:$E$20,0),MATCH('İşçilik Parametreleri'!$B$26,{"Manuel","Robot","HTD","Lazer"},0)))*'İşçilik Parametreleri'!$B$28/1000+O138*IF(OR('İşçilik Parametreleri'!$B$26="Robot",'İşçilik Parametreleri'!$B$26="HTD"),'İşçilik Parametreleri'!$B$30,'İşçilik Parametreleri'!$B$29))*'İşçilik Parametreleri'!$B$31</f>
        <v>3.0019999999999998</v>
      </c>
      <c r="Z138" s="74">
        <f t="shared" si="17"/>
        <v>9.7916999999999987</v>
      </c>
      <c r="AA138" s="75" t="s">
        <v>86</v>
      </c>
      <c r="AB138" s="76">
        <v>10000</v>
      </c>
      <c r="AC138" s="77">
        <f>IF(AA138="Kataforez",N(AB138),IF(AA138="Yaş boya",'İşçilik Parametreleri'!$B$6/MAX(1,ROUND(IF(ISNUMBER(AB138),AB138,'İşçilik Parametreleri'!$B$7),0)),0))</f>
        <v>8.0000000000000002E-3</v>
      </c>
      <c r="AD138" s="78">
        <f>W138/100*'İşçilik Parametreleri'!$B$9+X138/100*'İşçilik Parametreleri'!$B$17+Y138/100*'İşçilik Parametreleri'!$B$25</f>
        <v>3.2639</v>
      </c>
      <c r="AE138" s="78">
        <f t="shared" si="18"/>
        <v>3.2719</v>
      </c>
      <c r="AF138" s="75">
        <v>5</v>
      </c>
      <c r="AG138" s="84">
        <f>AD138*AF138+IF(AA138="Kataforez",N(AB138)*AF138,IF(AA138="Yaş boya",ROUNDUP(AF138/MAX(1,ROUND(IF(ISNUMBER(AB138),AB138,'İşçilik Parametreleri'!$B$7),0)),0)*'İşçilik Parametreleri'!$B$6,0))</f>
        <v>96.319500000000005</v>
      </c>
      <c r="AH138" s="70">
        <f t="shared" si="19"/>
        <v>0.81597500000000001</v>
      </c>
    </row>
    <row r="139" spans="1:34" ht="15" customHeight="1" x14ac:dyDescent="0.25">
      <c r="A139" s="82" t="s">
        <v>575</v>
      </c>
      <c r="B139" s="80" t="s">
        <v>23</v>
      </c>
      <c r="C139" s="81" t="s">
        <v>289</v>
      </c>
      <c r="D139" s="68" t="s">
        <v>119</v>
      </c>
      <c r="E139" s="68" t="s">
        <v>442</v>
      </c>
      <c r="F139" s="68">
        <v>1</v>
      </c>
      <c r="G139" s="68">
        <v>2</v>
      </c>
      <c r="H139" s="68">
        <v>3</v>
      </c>
      <c r="I139" s="68">
        <v>3</v>
      </c>
      <c r="J139" s="68">
        <v>0</v>
      </c>
      <c r="K139" s="70">
        <v>3.9889999999999999</v>
      </c>
      <c r="L139" s="70">
        <v>3.9260000000000002</v>
      </c>
      <c r="M139" s="71">
        <f t="shared" si="16"/>
        <v>-1.579343193782896E-2</v>
      </c>
      <c r="N139" s="68">
        <v>2</v>
      </c>
      <c r="O139" s="68">
        <v>2</v>
      </c>
      <c r="P139" s="68">
        <v>0</v>
      </c>
      <c r="Q139" s="72">
        <v>0</v>
      </c>
      <c r="R139" s="72">
        <v>0</v>
      </c>
      <c r="S139" s="72">
        <v>0</v>
      </c>
      <c r="T139" s="72">
        <v>0</v>
      </c>
      <c r="U139" s="72">
        <v>100</v>
      </c>
      <c r="V139" s="73">
        <f>SUM(Q139:U139)*'İşçilik Parametreleri'!$B$28/1000</f>
        <v>0.1</v>
      </c>
      <c r="W139" s="70">
        <f>SUMIF('Büküm Parçaları'!$A$2:$A$213,A139,'Büküm Parçaları'!$I$2:$I$213)</f>
        <v>0</v>
      </c>
      <c r="X139" s="70">
        <f>(I139*'İşçilik Parametreleri'!$B$18+IF(L139&gt;'İşçilik Parametreleri'!$B$21,'İşçilik Parametreleri'!$B$20,'İşçilik Parametreleri'!$B$19)+N139*'İşçilik Parametreleri'!$B$22)*'İşçilik Parametreleri'!$B$23</f>
        <v>10.4125</v>
      </c>
      <c r="Y139" s="70">
        <f>(IF('İşçilik Parametreleri'!$B$27="Resme göre",(Q139*INDEX('İşçilik Parametreleri'!$F$16:$I$20,1,MATCH('İşçilik Parametreleri'!$B$26,{"Manuel","Robot","HTD","Lazer"},0))+R139*INDEX('İşçilik Parametreleri'!$F$16:$I$20,2,MATCH('İşçilik Parametreleri'!$B$26,{"Manuel","Robot","HTD","Lazer"},0))+S139*INDEX('İşçilik Parametreleri'!$F$16:$I$20,3,MATCH('İşçilik Parametreleri'!$B$26,{"Manuel","Robot","HTD","Lazer"},0))+T139*INDEX('İşçilik Parametreleri'!$F$16:$I$20,4,MATCH('İşçilik Parametreleri'!$B$26,{"Manuel","Robot","HTD","Lazer"},0))+U139*INDEX('İşçilik Parametreleri'!$F$16:$I$20,5,MATCH('İşçilik Parametreleri'!$B$26,{"Manuel","Robot","HTD","Lazer"},0))),SUM(Q139:U139)*INDEX('İşçilik Parametreleri'!$F$16:$I$20,MATCH(VALUE('İşçilik Parametreleri'!$B$27),'İşçilik Parametreleri'!$E$16:$E$20,0),MATCH('İşçilik Parametreleri'!$B$26,{"Manuel","Robot","HTD","Lazer"},0)))*'İşçilik Parametreleri'!$B$28/1000+O139*IF(OR('İşçilik Parametreleri'!$B$26="Robot",'İşçilik Parametreleri'!$B$26="HTD"),'İşçilik Parametreleri'!$B$30,'İşçilik Parametreleri'!$B$29))*'İşçilik Parametreleri'!$B$31</f>
        <v>5.0999999999999996</v>
      </c>
      <c r="Z139" s="74">
        <f t="shared" si="17"/>
        <v>9.3074999999999992</v>
      </c>
      <c r="AA139" s="75" t="s">
        <v>86</v>
      </c>
      <c r="AB139" s="76">
        <v>10000</v>
      </c>
      <c r="AC139" s="77">
        <f>IF(AA139="Kataforez",N(AB139),IF(AA139="Yaş boya",'İşçilik Parametreleri'!$B$6/MAX(1,ROUND(IF(ISNUMBER(AB139),AB139,'İşçilik Parametreleri'!$B$7),0)),0))</f>
        <v>8.0000000000000002E-3</v>
      </c>
      <c r="AD139" s="78">
        <f>W139/100*'İşçilik Parametreleri'!$B$9+X139/100*'İşçilik Parametreleri'!$B$17+Y139/100*'İşçilik Parametreleri'!$B$25</f>
        <v>3.1025</v>
      </c>
      <c r="AE139" s="78">
        <f t="shared" si="18"/>
        <v>3.1105</v>
      </c>
      <c r="AF139" s="75">
        <v>5</v>
      </c>
      <c r="AG139" s="84">
        <f>AD139*AF139+IF(AA139="Kataforez",N(AB139)*AF139,IF(AA139="Yaş boya",ROUNDUP(AF139/MAX(1,ROUND(IF(ISNUMBER(AB139),AB139,'İşçilik Parametreleri'!$B$7),0)),0)*'İşçilik Parametreleri'!$B$6,0))</f>
        <v>95.512500000000003</v>
      </c>
      <c r="AH139" s="70">
        <f t="shared" si="19"/>
        <v>0.77562500000000001</v>
      </c>
    </row>
    <row r="140" spans="1:34" ht="15" customHeight="1" x14ac:dyDescent="0.25">
      <c r="A140" s="82" t="s">
        <v>576</v>
      </c>
      <c r="B140" s="80" t="s">
        <v>23</v>
      </c>
      <c r="C140" s="81" t="s">
        <v>291</v>
      </c>
      <c r="D140" s="68" t="s">
        <v>117</v>
      </c>
      <c r="E140" s="68" t="s">
        <v>447</v>
      </c>
      <c r="F140" s="68">
        <v>1</v>
      </c>
      <c r="G140" s="68">
        <v>2</v>
      </c>
      <c r="H140" s="68">
        <v>6</v>
      </c>
      <c r="I140" s="68">
        <v>6</v>
      </c>
      <c r="J140" s="68">
        <v>8</v>
      </c>
      <c r="K140" s="70">
        <v>2.633</v>
      </c>
      <c r="L140" s="70">
        <v>2.6280000000000001</v>
      </c>
      <c r="M140" s="71">
        <f t="shared" si="16"/>
        <v>-1.8989745537409395E-3</v>
      </c>
      <c r="N140" s="68">
        <v>12</v>
      </c>
      <c r="O140" s="68">
        <v>12</v>
      </c>
      <c r="P140" s="68">
        <v>0</v>
      </c>
      <c r="Q140" s="72">
        <v>300</v>
      </c>
      <c r="R140" s="72">
        <v>0</v>
      </c>
      <c r="S140" s="72">
        <v>0</v>
      </c>
      <c r="T140" s="72">
        <v>0</v>
      </c>
      <c r="U140" s="72">
        <v>0</v>
      </c>
      <c r="V140" s="73">
        <f>SUM(Q140:U140)*'İşçilik Parametreleri'!$B$28/1000</f>
        <v>0.3</v>
      </c>
      <c r="W140" s="70">
        <f>SUMIF('Büküm Parçaları'!$A$2:$A$213,A140,'Büküm Parçaları'!$I$2:$I$213)</f>
        <v>30.474999999999994</v>
      </c>
      <c r="X140" s="70">
        <f>(I140*'İşçilik Parametreleri'!$B$18+IF(L140&gt;'İşçilik Parametreleri'!$B$21,'İşçilik Parametreleri'!$B$20,'İşçilik Parametreleri'!$B$19)+N140*'İşçilik Parametreleri'!$B$22)*'İşçilik Parametreleri'!$B$23</f>
        <v>26.662499999999998</v>
      </c>
      <c r="Y140" s="70">
        <f>(IF('İşçilik Parametreleri'!$B$27="Resme göre",(Q140*INDEX('İşçilik Parametreleri'!$F$16:$I$20,1,MATCH('İşçilik Parametreleri'!$B$26,{"Manuel","Robot","HTD","Lazer"},0))+R140*INDEX('İşçilik Parametreleri'!$F$16:$I$20,2,MATCH('İşçilik Parametreleri'!$B$26,{"Manuel","Robot","HTD","Lazer"},0))+S140*INDEX('İşçilik Parametreleri'!$F$16:$I$20,3,MATCH('İşçilik Parametreleri'!$B$26,{"Manuel","Robot","HTD","Lazer"},0))+T140*INDEX('İşçilik Parametreleri'!$F$16:$I$20,4,MATCH('İşçilik Parametreleri'!$B$26,{"Manuel","Robot","HTD","Lazer"},0))+U140*INDEX('İşçilik Parametreleri'!$F$16:$I$20,5,MATCH('İşçilik Parametreleri'!$B$26,{"Manuel","Robot","HTD","Lazer"},0))),SUM(Q140:U140)*INDEX('İşçilik Parametreleri'!$F$16:$I$20,MATCH(VALUE('İşçilik Parametreleri'!$B$27),'İşçilik Parametreleri'!$E$16:$E$20,0),MATCH('İşçilik Parametreleri'!$B$26,{"Manuel","Robot","HTD","Lazer"},0)))*'İşçilik Parametreleri'!$B$28/1000+O140*IF(OR('İşçilik Parametreleri'!$B$26="Robot",'İşçilik Parametreleri'!$B$26="HTD"),'İşçilik Parametreleri'!$B$30,'İşçilik Parametreleri'!$B$29))*'İşçilik Parametreleri'!$B$31</f>
        <v>14.1</v>
      </c>
      <c r="Z140" s="74">
        <f t="shared" si="17"/>
        <v>42.742499999999986</v>
      </c>
      <c r="AA140" s="75" t="s">
        <v>86</v>
      </c>
      <c r="AB140" s="76">
        <v>10000</v>
      </c>
      <c r="AC140" s="77">
        <f>IF(AA140="Kataforez",N(AB140),IF(AA140="Yaş boya",'İşçilik Parametreleri'!$B$6/MAX(1,ROUND(IF(ISNUMBER(AB140),AB140,'İşçilik Parametreleri'!$B$7),0)),0))</f>
        <v>8.0000000000000002E-3</v>
      </c>
      <c r="AD140" s="78">
        <f>W140/100*'İşçilik Parametreleri'!$B$9+X140/100*'İşçilik Parametreleri'!$B$17+Y140/100*'İşçilik Parametreleri'!$B$25</f>
        <v>14.247499999999999</v>
      </c>
      <c r="AE140" s="78">
        <f t="shared" si="18"/>
        <v>14.255499999999998</v>
      </c>
      <c r="AF140" s="75">
        <v>1</v>
      </c>
      <c r="AG140" s="84">
        <f>AD140*AF140+IF(AA140="Kataforez",N(AB140)*AF140,IF(AA140="Yaş boya",ROUNDUP(AF140/MAX(1,ROUND(IF(ISNUMBER(AB140),AB140,'İşçilik Parametreleri'!$B$7),0)),0)*'İşçilik Parametreleri'!$B$6,0))</f>
        <v>94.247500000000002</v>
      </c>
      <c r="AH140" s="70">
        <f t="shared" si="19"/>
        <v>0.71237499999999987</v>
      </c>
    </row>
    <row r="141" spans="1:34" ht="15" customHeight="1" x14ac:dyDescent="0.25">
      <c r="A141" s="82" t="s">
        <v>577</v>
      </c>
      <c r="B141" s="80" t="s">
        <v>23</v>
      </c>
      <c r="C141" s="81" t="s">
        <v>293</v>
      </c>
      <c r="D141" s="68" t="s">
        <v>151</v>
      </c>
      <c r="E141" s="68" t="s">
        <v>442</v>
      </c>
      <c r="F141" s="68">
        <v>1</v>
      </c>
      <c r="G141" s="68">
        <v>2</v>
      </c>
      <c r="H141" s="68">
        <v>4</v>
      </c>
      <c r="I141" s="68">
        <v>4</v>
      </c>
      <c r="J141" s="68">
        <v>0</v>
      </c>
      <c r="K141" s="70">
        <v>7.85</v>
      </c>
      <c r="L141" s="70">
        <v>7.64</v>
      </c>
      <c r="M141" s="71">
        <f t="shared" si="16"/>
        <v>-2.6751592356687896E-2</v>
      </c>
      <c r="N141" s="68">
        <v>6</v>
      </c>
      <c r="O141" s="68">
        <v>6</v>
      </c>
      <c r="P141" s="68">
        <v>0</v>
      </c>
      <c r="Q141" s="72">
        <v>0</v>
      </c>
      <c r="R141" s="72">
        <v>0</v>
      </c>
      <c r="S141" s="72">
        <v>552</v>
      </c>
      <c r="T141" s="72">
        <v>0</v>
      </c>
      <c r="U141" s="72">
        <v>0</v>
      </c>
      <c r="V141" s="73">
        <f>SUM(Q141:U141)*'İşçilik Parametreleri'!$B$28/1000</f>
        <v>0.55200000000000005</v>
      </c>
      <c r="W141" s="70">
        <f>SUMIF('Büküm Parçaları'!$A$2:$A$213,A141,'Büküm Parçaları'!$I$2:$I$213)</f>
        <v>0</v>
      </c>
      <c r="X141" s="70">
        <f>(I141*'İşçilik Parametreleri'!$B$18+IF(L141&gt;'İşçilik Parametreleri'!$B$21,'İşçilik Parametreleri'!$B$20,'İşçilik Parametreleri'!$B$19)+N141*'İşçilik Parametreleri'!$B$22)*'İşçilik Parametreleri'!$B$23</f>
        <v>16.662500000000001</v>
      </c>
      <c r="Y141" s="70">
        <f>(IF('İşçilik Parametreleri'!$B$27="Resme göre",(Q141*INDEX('İşçilik Parametreleri'!$F$16:$I$20,1,MATCH('İşçilik Parametreleri'!$B$26,{"Manuel","Robot","HTD","Lazer"},0))+R141*INDEX('İşçilik Parametreleri'!$F$16:$I$20,2,MATCH('İşçilik Parametreleri'!$B$26,{"Manuel","Robot","HTD","Lazer"},0))+S141*INDEX('İşçilik Parametreleri'!$F$16:$I$20,3,MATCH('İşçilik Parametreleri'!$B$26,{"Manuel","Robot","HTD","Lazer"},0))+T141*INDEX('İşçilik Parametreleri'!$F$16:$I$20,4,MATCH('İşçilik Parametreleri'!$B$26,{"Manuel","Robot","HTD","Lazer"},0))+U141*INDEX('İşçilik Parametreleri'!$F$16:$I$20,5,MATCH('İşçilik Parametreleri'!$B$26,{"Manuel","Robot","HTD","Lazer"},0))),SUM(Q141:U141)*INDEX('İşçilik Parametreleri'!$F$16:$I$20,MATCH(VALUE('İşçilik Parametreleri'!$B$27),'İşçilik Parametreleri'!$E$16:$E$20,0),MATCH('İşçilik Parametreleri'!$B$26,{"Manuel","Robot","HTD","Lazer"},0)))*'İşçilik Parametreleri'!$B$28/1000+O141*IF(OR('İşçilik Parametreleri'!$B$26="Robot",'İşçilik Parametreleri'!$B$26="HTD"),'İşçilik Parametreleri'!$B$30,'İşçilik Parametreleri'!$B$29))*'İşçilik Parametreleri'!$B$31</f>
        <v>15.936</v>
      </c>
      <c r="Z141" s="74">
        <f t="shared" si="17"/>
        <v>19.559100000000001</v>
      </c>
      <c r="AA141" s="75" t="s">
        <v>86</v>
      </c>
      <c r="AB141" s="76">
        <v>10000</v>
      </c>
      <c r="AC141" s="77">
        <f>IF(AA141="Kataforez",N(AB141),IF(AA141="Yaş boya",'İşçilik Parametreleri'!$B$6/MAX(1,ROUND(IF(ISNUMBER(AB141),AB141,'İşçilik Parametreleri'!$B$7),0)),0))</f>
        <v>8.0000000000000002E-3</v>
      </c>
      <c r="AD141" s="78">
        <f>W141/100*'İşçilik Parametreleri'!$B$9+X141/100*'İşçilik Parametreleri'!$B$17+Y141/100*'İşçilik Parametreleri'!$B$25</f>
        <v>6.5197000000000003</v>
      </c>
      <c r="AE141" s="78">
        <f t="shared" si="18"/>
        <v>6.5277000000000003</v>
      </c>
      <c r="AF141" s="75">
        <v>2</v>
      </c>
      <c r="AG141" s="84">
        <f>AD141*AF141+IF(AA141="Kataforez",N(AB141)*AF141,IF(AA141="Yaş boya",ROUNDUP(AF141/MAX(1,ROUND(IF(ISNUMBER(AB141),AB141,'İşçilik Parametreleri'!$B$7),0)),0)*'İşçilik Parametreleri'!$B$6,0))</f>
        <v>93.039400000000001</v>
      </c>
      <c r="AH141" s="70">
        <f t="shared" si="19"/>
        <v>0.65197000000000005</v>
      </c>
    </row>
    <row r="142" spans="1:34" ht="15" customHeight="1" x14ac:dyDescent="0.25">
      <c r="A142" s="82" t="s">
        <v>578</v>
      </c>
      <c r="B142" s="80" t="s">
        <v>23</v>
      </c>
      <c r="C142" s="81" t="s">
        <v>295</v>
      </c>
      <c r="D142" s="68" t="s">
        <v>99</v>
      </c>
      <c r="E142" s="68" t="s">
        <v>442</v>
      </c>
      <c r="F142" s="68">
        <v>1</v>
      </c>
      <c r="G142" s="68">
        <v>2</v>
      </c>
      <c r="H142" s="68">
        <v>7</v>
      </c>
      <c r="I142" s="68">
        <v>7</v>
      </c>
      <c r="J142" s="68">
        <v>0</v>
      </c>
      <c r="K142" s="70">
        <v>6.6840000000000002</v>
      </c>
      <c r="L142" s="70">
        <v>6.6849999999999996</v>
      </c>
      <c r="M142" s="71">
        <f t="shared" si="16"/>
        <v>1.4961101137035395E-4</v>
      </c>
      <c r="N142" s="68">
        <v>12</v>
      </c>
      <c r="O142" s="68">
        <v>12</v>
      </c>
      <c r="P142" s="68">
        <v>0</v>
      </c>
      <c r="Q142" s="72">
        <v>0</v>
      </c>
      <c r="R142" s="72">
        <v>0</v>
      </c>
      <c r="S142" s="72">
        <v>900</v>
      </c>
      <c r="T142" s="72">
        <v>0</v>
      </c>
      <c r="U142" s="72">
        <v>0</v>
      </c>
      <c r="V142" s="73">
        <f>SUM(Q142:U142)*'İşçilik Parametreleri'!$B$28/1000</f>
        <v>0.9</v>
      </c>
      <c r="W142" s="70">
        <f>SUMIF('Büküm Parçaları'!$A$2:$A$213,A142,'Büküm Parçaları'!$I$2:$I$213)</f>
        <v>0</v>
      </c>
      <c r="X142" s="70">
        <f>(I142*'İşçilik Parametreleri'!$B$18+IF(L142&gt;'İşçilik Parametreleri'!$B$21,'İşçilik Parametreleri'!$B$20,'İşçilik Parametreleri'!$B$19)+N142*'İşçilik Parametreleri'!$B$22)*'İşçilik Parametreleri'!$B$23</f>
        <v>27.912499999999998</v>
      </c>
      <c r="Y142" s="70">
        <f>(IF('İşçilik Parametreleri'!$B$27="Resme göre",(Q142*INDEX('İşçilik Parametreleri'!$F$16:$I$20,1,MATCH('İşçilik Parametreleri'!$B$26,{"Manuel","Robot","HTD","Lazer"},0))+R142*INDEX('İşçilik Parametreleri'!$F$16:$I$20,2,MATCH('İşçilik Parametreleri'!$B$26,{"Manuel","Robot","HTD","Lazer"},0))+S142*INDEX('İşçilik Parametreleri'!$F$16:$I$20,3,MATCH('İşçilik Parametreleri'!$B$26,{"Manuel","Robot","HTD","Lazer"},0))+T142*INDEX('İşçilik Parametreleri'!$F$16:$I$20,4,MATCH('İşçilik Parametreleri'!$B$26,{"Manuel","Robot","HTD","Lazer"},0))+U142*INDEX('İşçilik Parametreleri'!$F$16:$I$20,5,MATCH('İşçilik Parametreleri'!$B$26,{"Manuel","Robot","HTD","Lazer"},0))),SUM(Q142:U142)*INDEX('İşçilik Parametreleri'!$F$16:$I$20,MATCH(VALUE('İşçilik Parametreleri'!$B$27),'İşçilik Parametreleri'!$E$16:$E$20,0),MATCH('İşçilik Parametreleri'!$B$26,{"Manuel","Robot","HTD","Lazer"},0)))*'İşçilik Parametreleri'!$B$28/1000+O142*IF(OR('İşçilik Parametreleri'!$B$26="Robot",'İşçilik Parametreleri'!$B$26="HTD"),'İşçilik Parametreleri'!$B$30,'İşçilik Parametreleri'!$B$29))*'İşçilik Parametreleri'!$B$31</f>
        <v>28.2</v>
      </c>
      <c r="Z142" s="74">
        <f t="shared" si="17"/>
        <v>33.667499999999997</v>
      </c>
      <c r="AA142" s="75" t="s">
        <v>86</v>
      </c>
      <c r="AB142" s="76">
        <v>10000</v>
      </c>
      <c r="AC142" s="77">
        <f>IF(AA142="Kataforez",N(AB142),IF(AA142="Yaş boya",'İşçilik Parametreleri'!$B$6/MAX(1,ROUND(IF(ISNUMBER(AB142),AB142,'İşçilik Parametreleri'!$B$7),0)),0))</f>
        <v>8.0000000000000002E-3</v>
      </c>
      <c r="AD142" s="78">
        <f>W142/100*'İşçilik Parametreleri'!$B$9+X142/100*'İşçilik Parametreleri'!$B$17+Y142/100*'İşçilik Parametreleri'!$B$25</f>
        <v>11.2225</v>
      </c>
      <c r="AE142" s="78">
        <f t="shared" si="18"/>
        <v>11.230499999999999</v>
      </c>
      <c r="AF142" s="75">
        <v>1</v>
      </c>
      <c r="AG142" s="84">
        <f>AD142*AF142+IF(AA142="Kataforez",N(AB142)*AF142,IF(AA142="Yaş boya",ROUNDUP(AF142/MAX(1,ROUND(IF(ISNUMBER(AB142),AB142,'İşçilik Parametreleri'!$B$7),0)),0)*'İşçilik Parametreleri'!$B$6,0))</f>
        <v>91.222499999999997</v>
      </c>
      <c r="AH142" s="70">
        <f t="shared" si="19"/>
        <v>0.56112499999999998</v>
      </c>
    </row>
    <row r="143" spans="1:34" ht="15" customHeight="1" x14ac:dyDescent="0.25">
      <c r="A143" s="82" t="s">
        <v>579</v>
      </c>
      <c r="B143" s="80" t="s">
        <v>23</v>
      </c>
      <c r="C143" s="81" t="s">
        <v>297</v>
      </c>
      <c r="D143" s="68" t="s">
        <v>139</v>
      </c>
      <c r="E143" s="68" t="s">
        <v>447</v>
      </c>
      <c r="F143" s="68">
        <v>1</v>
      </c>
      <c r="G143" s="68">
        <v>3</v>
      </c>
      <c r="H143" s="68">
        <v>5</v>
      </c>
      <c r="I143" s="68">
        <v>5</v>
      </c>
      <c r="J143" s="68">
        <v>0</v>
      </c>
      <c r="K143" s="70">
        <v>3.6280000000000001</v>
      </c>
      <c r="L143" s="70">
        <v>3.6269999999999998</v>
      </c>
      <c r="M143" s="71">
        <f t="shared" si="16"/>
        <v>-2.7563395810373042E-4</v>
      </c>
      <c r="N143" s="68">
        <v>6</v>
      </c>
      <c r="O143" s="68">
        <v>6</v>
      </c>
      <c r="P143" s="68">
        <v>0</v>
      </c>
      <c r="Q143" s="72">
        <v>498</v>
      </c>
      <c r="R143" s="72">
        <v>0</v>
      </c>
      <c r="S143" s="72">
        <v>0</v>
      </c>
      <c r="T143" s="72">
        <v>0</v>
      </c>
      <c r="U143" s="72">
        <v>0</v>
      </c>
      <c r="V143" s="73">
        <f>SUM(Q143:U143)*'İşçilik Parametreleri'!$B$28/1000</f>
        <v>0.498</v>
      </c>
      <c r="W143" s="70">
        <f>SUMIF('Büküm Parçaları'!$A$2:$A$213,A143,'Büküm Parçaları'!$I$2:$I$213)</f>
        <v>0</v>
      </c>
      <c r="X143" s="70">
        <f>(I143*'İşçilik Parametreleri'!$B$18+IF(L143&gt;'İşçilik Parametreleri'!$B$21,'İşçilik Parametreleri'!$B$20,'İşçilik Parametreleri'!$B$19)+N143*'İşçilik Parametreleri'!$B$22)*'İşçilik Parametreleri'!$B$23</f>
        <v>17.912500000000001</v>
      </c>
      <c r="Y143" s="70">
        <f>(IF('İşçilik Parametreleri'!$B$27="Resme göre",(Q143*INDEX('İşçilik Parametreleri'!$F$16:$I$20,1,MATCH('İşçilik Parametreleri'!$B$26,{"Manuel","Robot","HTD","Lazer"},0))+R143*INDEX('İşçilik Parametreleri'!$F$16:$I$20,2,MATCH('İşçilik Parametreleri'!$B$26,{"Manuel","Robot","HTD","Lazer"},0))+S143*INDEX('İşçilik Parametreleri'!$F$16:$I$20,3,MATCH('İşçilik Parametreleri'!$B$26,{"Manuel","Robot","HTD","Lazer"},0))+T143*INDEX('İşçilik Parametreleri'!$F$16:$I$20,4,MATCH('İşçilik Parametreleri'!$B$26,{"Manuel","Robot","HTD","Lazer"},0))+U143*INDEX('İşçilik Parametreleri'!$F$16:$I$20,5,MATCH('İşçilik Parametreleri'!$B$26,{"Manuel","Robot","HTD","Lazer"},0))),SUM(Q143:U143)*INDEX('İşçilik Parametreleri'!$F$16:$I$20,MATCH(VALUE('İşçilik Parametreleri'!$B$27),'İşçilik Parametreleri'!$E$16:$E$20,0),MATCH('İşçilik Parametreleri'!$B$26,{"Manuel","Robot","HTD","Lazer"},0)))*'İşçilik Parametreleri'!$B$28/1000+O143*IF(OR('İşçilik Parametreleri'!$B$26="Robot",'İşçilik Parametreleri'!$B$26="HTD"),'İşçilik Parametreleri'!$B$30,'İşçilik Parametreleri'!$B$29))*'İşçilik Parametreleri'!$B$31</f>
        <v>9.4860000000000007</v>
      </c>
      <c r="Z143" s="74">
        <f t="shared" si="17"/>
        <v>16.4391</v>
      </c>
      <c r="AA143" s="75" t="s">
        <v>86</v>
      </c>
      <c r="AB143" s="76">
        <v>10000</v>
      </c>
      <c r="AC143" s="77">
        <f>IF(AA143="Kataforez",N(AB143),IF(AA143="Yaş boya",'İşçilik Parametreleri'!$B$6/MAX(1,ROUND(IF(ISNUMBER(AB143),AB143,'İşçilik Parametreleri'!$B$7),0)),0))</f>
        <v>8.0000000000000002E-3</v>
      </c>
      <c r="AD143" s="78">
        <f>W143/100*'İşçilik Parametreleri'!$B$9+X143/100*'İşçilik Parametreleri'!$B$17+Y143/100*'İşçilik Parametreleri'!$B$25</f>
        <v>5.4797000000000002</v>
      </c>
      <c r="AE143" s="78">
        <f t="shared" si="18"/>
        <v>5.4877000000000002</v>
      </c>
      <c r="AF143" s="75">
        <v>2</v>
      </c>
      <c r="AG143" s="84">
        <f>AD143*AF143+IF(AA143="Kataforez",N(AB143)*AF143,IF(AA143="Yaş boya",ROUNDUP(AF143/MAX(1,ROUND(IF(ISNUMBER(AB143),AB143,'İşçilik Parametreleri'!$B$7),0)),0)*'İşçilik Parametreleri'!$B$6,0))</f>
        <v>90.959400000000002</v>
      </c>
      <c r="AH143" s="70">
        <f t="shared" si="19"/>
        <v>0.54797000000000007</v>
      </c>
    </row>
    <row r="144" spans="1:34" ht="15" customHeight="1" x14ac:dyDescent="0.25">
      <c r="A144" s="82" t="s">
        <v>580</v>
      </c>
      <c r="B144" s="68" t="s">
        <v>439</v>
      </c>
      <c r="C144" s="69" t="s">
        <v>299</v>
      </c>
      <c r="D144" s="68" t="s">
        <v>110</v>
      </c>
      <c r="E144" s="68" t="s">
        <v>442</v>
      </c>
      <c r="F144" s="68">
        <v>0</v>
      </c>
      <c r="G144" s="68">
        <v>3</v>
      </c>
      <c r="H144" s="68">
        <v>6</v>
      </c>
      <c r="I144" s="68">
        <v>6</v>
      </c>
      <c r="J144" s="68">
        <v>0</v>
      </c>
      <c r="K144" s="70">
        <v>13.464</v>
      </c>
      <c r="L144" s="70">
        <v>13.318</v>
      </c>
      <c r="M144" s="71">
        <f t="shared" si="16"/>
        <v>-1.0843731431966784E-2</v>
      </c>
      <c r="N144" s="68">
        <v>10</v>
      </c>
      <c r="O144" s="68">
        <v>10</v>
      </c>
      <c r="P144" s="68">
        <v>0</v>
      </c>
      <c r="Q144" s="72">
        <v>2658</v>
      </c>
      <c r="R144" s="72">
        <v>0</v>
      </c>
      <c r="S144" s="72">
        <v>0</v>
      </c>
      <c r="T144" s="72">
        <v>0</v>
      </c>
      <c r="U144" s="72">
        <v>0</v>
      </c>
      <c r="V144" s="73">
        <f>SUM(Q144:U144)*'İşçilik Parametreleri'!$B$28/1000</f>
        <v>2.6579999999999999</v>
      </c>
      <c r="W144" s="70">
        <f>SUMIF('Büküm Parçaları'!$A$2:$A$213,A144,'Büküm Parçaları'!$I$2:$I$213)</f>
        <v>0</v>
      </c>
      <c r="X144" s="70">
        <f>(I144*'İşçilik Parametreleri'!$B$18+IF(L144&gt;'İşçilik Parametreleri'!$B$21,'İşçilik Parametreleri'!$B$20,'İşçilik Parametreleri'!$B$19)+N144*'İşçilik Parametreleri'!$B$22)*'İşçilik Parametreleri'!$B$23</f>
        <v>24.162499999999998</v>
      </c>
      <c r="Y144" s="70">
        <f>(IF('İşçilik Parametreleri'!$B$27="Resme göre",(Q144*INDEX('İşçilik Parametreleri'!$F$16:$I$20,1,MATCH('İşçilik Parametreleri'!$B$26,{"Manuel","Robot","HTD","Lazer"},0))+R144*INDEX('İşçilik Parametreleri'!$F$16:$I$20,2,MATCH('İşçilik Parametreleri'!$B$26,{"Manuel","Robot","HTD","Lazer"},0))+S144*INDEX('İşçilik Parametreleri'!$F$16:$I$20,3,MATCH('İşçilik Parametreleri'!$B$26,{"Manuel","Robot","HTD","Lazer"},0))+T144*INDEX('İşçilik Parametreleri'!$F$16:$I$20,4,MATCH('İşçilik Parametreleri'!$B$26,{"Manuel","Robot","HTD","Lazer"},0))+U144*INDEX('İşçilik Parametreleri'!$F$16:$I$20,5,MATCH('İşçilik Parametreleri'!$B$26,{"Manuel","Robot","HTD","Lazer"},0))),SUM(Q144:U144)*INDEX('İşçilik Parametreleri'!$F$16:$I$20,MATCH(VALUE('İşçilik Parametreleri'!$B$27),'İşçilik Parametreleri'!$E$16:$E$20,0),MATCH('İşçilik Parametreleri'!$B$26,{"Manuel","Robot","HTD","Lazer"},0)))*'İşçilik Parametreleri'!$B$28/1000+O144*IF(OR('İşçilik Parametreleri'!$B$26="Robot",'İşçilik Parametreleri'!$B$26="HTD"),'İşçilik Parametreleri'!$B$30,'İşçilik Parametreleri'!$B$29))*'İşçilik Parametreleri'!$B$31</f>
        <v>28.606000000000002</v>
      </c>
      <c r="Z144" s="74">
        <f t="shared" si="17"/>
        <v>31.661100000000001</v>
      </c>
      <c r="AA144" s="75" t="s">
        <v>86</v>
      </c>
      <c r="AB144" s="76">
        <v>10000</v>
      </c>
      <c r="AC144" s="77">
        <f>IF(AA144="Kataforez",N(AB144),IF(AA144="Yaş boya",'İşçilik Parametreleri'!$B$6/MAX(1,ROUND(IF(ISNUMBER(AB144),AB144,'İşçilik Parametreleri'!$B$7),0)),0))</f>
        <v>8.0000000000000002E-3</v>
      </c>
      <c r="AD144" s="78">
        <f>W144/100*'İşçilik Parametreleri'!$B$9+X144/100*'İşçilik Parametreleri'!$B$17+Y144/100*'İşçilik Parametreleri'!$B$25</f>
        <v>10.553699999999999</v>
      </c>
      <c r="AE144" s="78">
        <f t="shared" si="18"/>
        <v>10.561699999999998</v>
      </c>
      <c r="AF144" s="75">
        <v>1</v>
      </c>
      <c r="AG144" s="84">
        <f>AD144*AF144+IF(AA144="Kataforez",N(AB144)*AF144,IF(AA144="Yaş boya",ROUNDUP(AF144/MAX(1,ROUND(IF(ISNUMBER(AB144),AB144,'İşçilik Parametreleri'!$B$7),0)),0)*'İşçilik Parametreleri'!$B$6,0))</f>
        <v>90.553699999999992</v>
      </c>
      <c r="AH144" s="70">
        <f t="shared" si="19"/>
        <v>0.52768500000000007</v>
      </c>
    </row>
    <row r="145" spans="1:34" ht="15" customHeight="1" x14ac:dyDescent="0.25">
      <c r="A145" s="82" t="s">
        <v>581</v>
      </c>
      <c r="B145" s="80" t="s">
        <v>23</v>
      </c>
      <c r="C145" s="81" t="s">
        <v>301</v>
      </c>
      <c r="D145" s="68" t="s">
        <v>139</v>
      </c>
      <c r="E145" s="68" t="s">
        <v>442</v>
      </c>
      <c r="F145" s="68">
        <v>1</v>
      </c>
      <c r="G145" s="68">
        <v>2</v>
      </c>
      <c r="H145" s="68">
        <v>5</v>
      </c>
      <c r="I145" s="68">
        <v>5</v>
      </c>
      <c r="J145" s="68">
        <v>0</v>
      </c>
      <c r="K145" s="70">
        <v>0.997</v>
      </c>
      <c r="L145" s="70">
        <v>0.998</v>
      </c>
      <c r="M145" s="71">
        <f t="shared" si="16"/>
        <v>1.0030090270812446E-3</v>
      </c>
      <c r="N145" s="68">
        <v>4</v>
      </c>
      <c r="O145" s="68">
        <v>4</v>
      </c>
      <c r="P145" s="68">
        <v>0</v>
      </c>
      <c r="Q145" s="72">
        <v>0</v>
      </c>
      <c r="R145" s="72">
        <v>0</v>
      </c>
      <c r="S145" s="72">
        <v>328</v>
      </c>
      <c r="T145" s="72">
        <v>0</v>
      </c>
      <c r="U145" s="72">
        <v>0</v>
      </c>
      <c r="V145" s="73">
        <f>SUM(Q145:U145)*'İşçilik Parametreleri'!$B$28/1000</f>
        <v>0.32800000000000001</v>
      </c>
      <c r="W145" s="70">
        <f>SUMIF('Büküm Parçaları'!$A$2:$A$213,A145,'Büküm Parçaları'!$I$2:$I$213)</f>
        <v>0</v>
      </c>
      <c r="X145" s="70">
        <f>(I145*'İşçilik Parametreleri'!$B$18+IF(L145&gt;'İşçilik Parametreleri'!$B$21,'İşçilik Parametreleri'!$B$20,'İşçilik Parametreleri'!$B$19)+N145*'İşçilik Parametreleri'!$B$22)*'İşçilik Parametreleri'!$B$23</f>
        <v>15.4125</v>
      </c>
      <c r="Y145" s="70">
        <f>(IF('İşçilik Parametreleri'!$B$27="Resme göre",(Q145*INDEX('İşçilik Parametreleri'!$F$16:$I$20,1,MATCH('İşçilik Parametreleri'!$B$26,{"Manuel","Robot","HTD","Lazer"},0))+R145*INDEX('İşçilik Parametreleri'!$F$16:$I$20,2,MATCH('İşçilik Parametreleri'!$B$26,{"Manuel","Robot","HTD","Lazer"},0))+S145*INDEX('İşçilik Parametreleri'!$F$16:$I$20,3,MATCH('İşçilik Parametreleri'!$B$26,{"Manuel","Robot","HTD","Lazer"},0))+T145*INDEX('İşçilik Parametreleri'!$F$16:$I$20,4,MATCH('İşçilik Parametreleri'!$B$26,{"Manuel","Robot","HTD","Lazer"},0))+U145*INDEX('İşçilik Parametreleri'!$F$16:$I$20,5,MATCH('İşçilik Parametreleri'!$B$26,{"Manuel","Robot","HTD","Lazer"},0))),SUM(Q145:U145)*INDEX('İşçilik Parametreleri'!$F$16:$I$20,MATCH(VALUE('İşçilik Parametreleri'!$B$27),'İşçilik Parametreleri'!$E$16:$E$20,0),MATCH('İşçilik Parametreleri'!$B$26,{"Manuel","Robot","HTD","Lazer"},0)))*'İşçilik Parametreleri'!$B$28/1000+O145*IF(OR('İşçilik Parametreleri'!$B$26="Robot",'İşçilik Parametreleri'!$B$26="HTD"),'İşçilik Parametreleri'!$B$30,'İşçilik Parametreleri'!$B$29))*'İşçilik Parametreleri'!$B$31</f>
        <v>9.9039999999999999</v>
      </c>
      <c r="Z145" s="74">
        <f t="shared" si="17"/>
        <v>15.189899999999998</v>
      </c>
      <c r="AA145" s="75" t="s">
        <v>86</v>
      </c>
      <c r="AB145" s="76">
        <v>10000</v>
      </c>
      <c r="AC145" s="77">
        <f>IF(AA145="Kataforez",N(AB145),IF(AA145="Yaş boya",'İşçilik Parametreleri'!$B$6/MAX(1,ROUND(IF(ISNUMBER(AB145),AB145,'İşçilik Parametreleri'!$B$7),0)),0))</f>
        <v>8.0000000000000002E-3</v>
      </c>
      <c r="AD145" s="78">
        <f>W145/100*'İşçilik Parametreleri'!$B$9+X145/100*'İşçilik Parametreleri'!$B$17+Y145/100*'İşçilik Parametreleri'!$B$25</f>
        <v>5.0632999999999999</v>
      </c>
      <c r="AE145" s="78">
        <f t="shared" si="18"/>
        <v>5.0712999999999999</v>
      </c>
      <c r="AF145" s="75">
        <v>2</v>
      </c>
      <c r="AG145" s="84">
        <f>AD145*AF145+IF(AA145="Kataforez",N(AB145)*AF145,IF(AA145="Yaş boya",ROUNDUP(AF145/MAX(1,ROUND(IF(ISNUMBER(AB145),AB145,'İşçilik Parametreleri'!$B$7),0)),0)*'İşçilik Parametreleri'!$B$6,0))</f>
        <v>90.126599999999996</v>
      </c>
      <c r="AH145" s="70">
        <f t="shared" si="19"/>
        <v>0.50632999999999995</v>
      </c>
    </row>
    <row r="146" spans="1:34" ht="15" customHeight="1" x14ac:dyDescent="0.25">
      <c r="A146" s="82" t="s">
        <v>582</v>
      </c>
      <c r="B146" s="80" t="s">
        <v>23</v>
      </c>
      <c r="C146" s="81" t="s">
        <v>303</v>
      </c>
      <c r="D146" s="68" t="s">
        <v>107</v>
      </c>
      <c r="E146" s="68" t="s">
        <v>442</v>
      </c>
      <c r="F146" s="68">
        <v>1</v>
      </c>
      <c r="G146" s="68">
        <v>2</v>
      </c>
      <c r="H146" s="68">
        <v>2</v>
      </c>
      <c r="I146" s="68">
        <v>2</v>
      </c>
      <c r="J146" s="68">
        <v>4</v>
      </c>
      <c r="K146" s="70">
        <v>1.6220000000000001</v>
      </c>
      <c r="L146" s="70">
        <v>1.593</v>
      </c>
      <c r="M146" s="71">
        <f t="shared" si="16"/>
        <v>-1.7879161528976655E-2</v>
      </c>
      <c r="N146" s="68">
        <v>2</v>
      </c>
      <c r="O146" s="68">
        <v>2</v>
      </c>
      <c r="P146" s="68">
        <v>0</v>
      </c>
      <c r="Q146" s="72">
        <v>200</v>
      </c>
      <c r="R146" s="72">
        <v>0</v>
      </c>
      <c r="S146" s="72">
        <v>0</v>
      </c>
      <c r="T146" s="72">
        <v>0</v>
      </c>
      <c r="U146" s="72">
        <v>0</v>
      </c>
      <c r="V146" s="73">
        <f>SUM(Q146:U146)*'İşçilik Parametreleri'!$B$28/1000</f>
        <v>0.2</v>
      </c>
      <c r="W146" s="70">
        <f>SUMIF('Büküm Parçaları'!$A$2:$A$213,A146,'Büküm Parçaları'!$I$2:$I$213)</f>
        <v>8.8549999999999986</v>
      </c>
      <c r="X146" s="70">
        <f>(I146*'İşçilik Parametreleri'!$B$18+IF(L146&gt;'İşçilik Parametreleri'!$B$21,'İşçilik Parametreleri'!$B$20,'İşçilik Parametreleri'!$B$19)+N146*'İşçilik Parametreleri'!$B$22)*'İşçilik Parametreleri'!$B$23</f>
        <v>9.1624999999999996</v>
      </c>
      <c r="Y146" s="70">
        <f>(IF('İşçilik Parametreleri'!$B$27="Resme göre",(Q146*INDEX('İşçilik Parametreleri'!$F$16:$I$20,1,MATCH('İşçilik Parametreleri'!$B$26,{"Manuel","Robot","HTD","Lazer"},0))+R146*INDEX('İşçilik Parametreleri'!$F$16:$I$20,2,MATCH('İşçilik Parametreleri'!$B$26,{"Manuel","Robot","HTD","Lazer"},0))+S146*INDEX('İşçilik Parametreleri'!$F$16:$I$20,3,MATCH('İşçilik Parametreleri'!$B$26,{"Manuel","Robot","HTD","Lazer"},0))+T146*INDEX('İşçilik Parametreleri'!$F$16:$I$20,4,MATCH('İşçilik Parametreleri'!$B$26,{"Manuel","Robot","HTD","Lazer"},0))+U146*INDEX('İşçilik Parametreleri'!$F$16:$I$20,5,MATCH('İşçilik Parametreleri'!$B$26,{"Manuel","Robot","HTD","Lazer"},0))),SUM(Q146:U146)*INDEX('İşçilik Parametreleri'!$F$16:$I$20,MATCH(VALUE('İşçilik Parametreleri'!$B$27),'İşçilik Parametreleri'!$E$16:$E$20,0),MATCH('İşçilik Parametreleri'!$B$26,{"Manuel","Robot","HTD","Lazer"},0)))*'İşçilik Parametreleri'!$B$28/1000+O146*IF(OR('İşçilik Parametreleri'!$B$26="Robot",'İşçilik Parametreleri'!$B$26="HTD"),'İşçilik Parametreleri'!$B$30,'İşçilik Parametreleri'!$B$29))*'İşçilik Parametreleri'!$B$31</f>
        <v>3.4</v>
      </c>
      <c r="Z146" s="74">
        <f t="shared" si="17"/>
        <v>12.850499999999998</v>
      </c>
      <c r="AA146" s="75" t="s">
        <v>86</v>
      </c>
      <c r="AB146" s="76">
        <v>10000</v>
      </c>
      <c r="AC146" s="77">
        <f>IF(AA146="Kataforez",N(AB146),IF(AA146="Yaş boya",'İşçilik Parametreleri'!$B$6/MAX(1,ROUND(IF(ISNUMBER(AB146),AB146,'İşçilik Parametreleri'!$B$7),0)),0))</f>
        <v>8.0000000000000002E-3</v>
      </c>
      <c r="AD146" s="78">
        <f>W146/100*'İşçilik Parametreleri'!$B$9+X146/100*'İşçilik Parametreleri'!$B$17+Y146/100*'İşçilik Parametreleri'!$B$25</f>
        <v>4.2835000000000001</v>
      </c>
      <c r="AE146" s="78">
        <f t="shared" si="18"/>
        <v>4.2915000000000001</v>
      </c>
      <c r="AF146" s="75">
        <v>2</v>
      </c>
      <c r="AG146" s="84">
        <f>AD146*AF146+IF(AA146="Kataforez",N(AB146)*AF146,IF(AA146="Yaş boya",ROUNDUP(AF146/MAX(1,ROUND(IF(ISNUMBER(AB146),AB146,'İşçilik Parametreleri'!$B$7),0)),0)*'İşçilik Parametreleri'!$B$6,0))</f>
        <v>88.567000000000007</v>
      </c>
      <c r="AH146" s="70">
        <f t="shared" si="19"/>
        <v>0.42834999999999995</v>
      </c>
    </row>
    <row r="147" spans="1:34" ht="15" customHeight="1" x14ac:dyDescent="0.25">
      <c r="A147" s="82" t="s">
        <v>583</v>
      </c>
      <c r="B147" s="80" t="s">
        <v>23</v>
      </c>
      <c r="C147" s="81" t="s">
        <v>304</v>
      </c>
      <c r="D147" s="68" t="s">
        <v>194</v>
      </c>
      <c r="E147" s="68" t="s">
        <v>442</v>
      </c>
      <c r="F147" s="68">
        <v>1</v>
      </c>
      <c r="G147" s="68">
        <v>2</v>
      </c>
      <c r="H147" s="68">
        <v>5</v>
      </c>
      <c r="I147" s="68">
        <v>5</v>
      </c>
      <c r="J147" s="68">
        <v>0</v>
      </c>
      <c r="K147" s="70">
        <v>6.319</v>
      </c>
      <c r="L147" s="70">
        <v>6.0830000000000002</v>
      </c>
      <c r="M147" s="71">
        <f t="shared" si="16"/>
        <v>-3.7347681595189072E-2</v>
      </c>
      <c r="N147" s="68">
        <v>8</v>
      </c>
      <c r="O147" s="68">
        <v>8</v>
      </c>
      <c r="P147" s="68">
        <v>0</v>
      </c>
      <c r="Q147" s="72">
        <v>0</v>
      </c>
      <c r="R147" s="72">
        <v>0</v>
      </c>
      <c r="S147" s="72">
        <v>704</v>
      </c>
      <c r="T147" s="72">
        <v>0</v>
      </c>
      <c r="U147" s="72">
        <v>0</v>
      </c>
      <c r="V147" s="73">
        <f>SUM(Q147:U147)*'İşçilik Parametreleri'!$B$28/1000</f>
        <v>0.70399999999999996</v>
      </c>
      <c r="W147" s="70">
        <f>SUMIF('Büküm Parçaları'!$A$2:$A$213,A147,'Büküm Parçaları'!$I$2:$I$213)</f>
        <v>0</v>
      </c>
      <c r="X147" s="70">
        <f>(I147*'İşçilik Parametreleri'!$B$18+IF(L147&gt;'İşçilik Parametreleri'!$B$21,'İşçilik Parametreleri'!$B$20,'İşçilik Parametreleri'!$B$19)+N147*'İşçilik Parametreleri'!$B$22)*'İşçilik Parametreleri'!$B$23</f>
        <v>20.412499999999998</v>
      </c>
      <c r="Y147" s="70">
        <f>(IF('İşçilik Parametreleri'!$B$27="Resme göre",(Q147*INDEX('İşçilik Parametreleri'!$F$16:$I$20,1,MATCH('İşçilik Parametreleri'!$B$26,{"Manuel","Robot","HTD","Lazer"},0))+R147*INDEX('İşçilik Parametreleri'!$F$16:$I$20,2,MATCH('İşçilik Parametreleri'!$B$26,{"Manuel","Robot","HTD","Lazer"},0))+S147*INDEX('İşçilik Parametreleri'!$F$16:$I$20,3,MATCH('İşçilik Parametreleri'!$B$26,{"Manuel","Robot","HTD","Lazer"},0))+T147*INDEX('İşçilik Parametreleri'!$F$16:$I$20,4,MATCH('İşçilik Parametreleri'!$B$26,{"Manuel","Robot","HTD","Lazer"},0))+U147*INDEX('İşçilik Parametreleri'!$F$16:$I$20,5,MATCH('İşçilik Parametreleri'!$B$26,{"Manuel","Robot","HTD","Lazer"},0))),SUM(Q147:U147)*INDEX('İşçilik Parametreleri'!$F$16:$I$20,MATCH(VALUE('İşçilik Parametreleri'!$B$27),'İşçilik Parametreleri'!$E$16:$E$20,0),MATCH('İşçilik Parametreleri'!$B$26,{"Manuel","Robot","HTD","Lazer"},0)))*'İşçilik Parametreleri'!$B$28/1000+O147*IF(OR('İşçilik Parametreleri'!$B$26="Robot",'İşçilik Parametreleri'!$B$26="HTD"),'İşçilik Parametreleri'!$B$30,'İşçilik Parametreleri'!$B$29))*'İşçilik Parametreleri'!$B$31</f>
        <v>20.672000000000001</v>
      </c>
      <c r="Z147" s="74">
        <f t="shared" si="17"/>
        <v>24.650699999999997</v>
      </c>
      <c r="AA147" s="75" t="s">
        <v>86</v>
      </c>
      <c r="AB147" s="76">
        <v>10000</v>
      </c>
      <c r="AC147" s="77">
        <f>IF(AA147="Kataforez",N(AB147),IF(AA147="Yaş boya",'İşçilik Parametreleri'!$B$6/MAX(1,ROUND(IF(ISNUMBER(AB147),AB147,'İşçilik Parametreleri'!$B$7),0)),0))</f>
        <v>8.0000000000000002E-3</v>
      </c>
      <c r="AD147" s="78">
        <f>W147/100*'İşçilik Parametreleri'!$B$9+X147/100*'İşçilik Parametreleri'!$B$17+Y147/100*'İşçilik Parametreleri'!$B$25</f>
        <v>8.216899999999999</v>
      </c>
      <c r="AE147" s="78">
        <f t="shared" si="18"/>
        <v>8.2248999999999981</v>
      </c>
      <c r="AF147" s="75">
        <v>1</v>
      </c>
      <c r="AG147" s="84">
        <f>AD147*AF147+IF(AA147="Kataforez",N(AB147)*AF147,IF(AA147="Yaş boya",ROUNDUP(AF147/MAX(1,ROUND(IF(ISNUMBER(AB147),AB147,'İşçilik Parametreleri'!$B$7),0)),0)*'İşçilik Parametreleri'!$B$6,0))</f>
        <v>88.216899999999995</v>
      </c>
      <c r="AH147" s="70">
        <f t="shared" si="19"/>
        <v>0.41084499999999996</v>
      </c>
    </row>
    <row r="148" spans="1:34" ht="15" customHeight="1" x14ac:dyDescent="0.25">
      <c r="A148" s="82" t="s">
        <v>584</v>
      </c>
      <c r="B148" s="80" t="s">
        <v>23</v>
      </c>
      <c r="C148" s="81" t="s">
        <v>305</v>
      </c>
      <c r="D148" s="68" t="s">
        <v>107</v>
      </c>
      <c r="E148" s="68" t="s">
        <v>442</v>
      </c>
      <c r="F148" s="68">
        <v>1</v>
      </c>
      <c r="G148" s="68">
        <v>2</v>
      </c>
      <c r="H148" s="68">
        <v>6</v>
      </c>
      <c r="I148" s="68">
        <v>6</v>
      </c>
      <c r="J148" s="68">
        <v>0</v>
      </c>
      <c r="K148" s="70">
        <v>4.5670000000000002</v>
      </c>
      <c r="L148" s="70">
        <v>4.6159999999999997</v>
      </c>
      <c r="M148" s="71">
        <f t="shared" si="16"/>
        <v>1.0729143858112434E-2</v>
      </c>
      <c r="N148" s="68">
        <v>8</v>
      </c>
      <c r="O148" s="68">
        <v>8</v>
      </c>
      <c r="P148" s="68">
        <v>0</v>
      </c>
      <c r="Q148" s="72">
        <v>496</v>
      </c>
      <c r="R148" s="72">
        <v>0</v>
      </c>
      <c r="S148" s="72">
        <v>0</v>
      </c>
      <c r="T148" s="72">
        <v>0</v>
      </c>
      <c r="U148" s="72">
        <v>0</v>
      </c>
      <c r="V148" s="73">
        <f>SUM(Q148:U148)*'İşçilik Parametreleri'!$B$28/1000</f>
        <v>0.496</v>
      </c>
      <c r="W148" s="70">
        <f>SUMIF('Büküm Parçaları'!$A$2:$A$213,A148,'Büküm Parçaları'!$I$2:$I$213)</f>
        <v>0</v>
      </c>
      <c r="X148" s="70">
        <f>(I148*'İşçilik Parametreleri'!$B$18+IF(L148&gt;'İşçilik Parametreleri'!$B$21,'İşçilik Parametreleri'!$B$20,'İşçilik Parametreleri'!$B$19)+N148*'İşçilik Parametreleri'!$B$22)*'İşçilik Parametreleri'!$B$23</f>
        <v>21.662499999999998</v>
      </c>
      <c r="Y148" s="70">
        <f>(IF('İşçilik Parametreleri'!$B$27="Resme göre",(Q148*INDEX('İşçilik Parametreleri'!$F$16:$I$20,1,MATCH('İşçilik Parametreleri'!$B$26,{"Manuel","Robot","HTD","Lazer"},0))+R148*INDEX('İşçilik Parametreleri'!$F$16:$I$20,2,MATCH('İşçilik Parametreleri'!$B$26,{"Manuel","Robot","HTD","Lazer"},0))+S148*INDEX('İşçilik Parametreleri'!$F$16:$I$20,3,MATCH('İşçilik Parametreleri'!$B$26,{"Manuel","Robot","HTD","Lazer"},0))+T148*INDEX('İşçilik Parametreleri'!$F$16:$I$20,4,MATCH('İşçilik Parametreleri'!$B$26,{"Manuel","Robot","HTD","Lazer"},0))+U148*INDEX('İşçilik Parametreleri'!$F$16:$I$20,5,MATCH('İşçilik Parametreleri'!$B$26,{"Manuel","Robot","HTD","Lazer"},0))),SUM(Q148:U148)*INDEX('İşçilik Parametreleri'!$F$16:$I$20,MATCH(VALUE('İşçilik Parametreleri'!$B$27),'İşçilik Parametreleri'!$E$16:$E$20,0),MATCH('İşçilik Parametreleri'!$B$26,{"Manuel","Robot","HTD","Lazer"},0)))*'İşçilik Parametreleri'!$B$28/1000+O148*IF(OR('İşçilik Parametreleri'!$B$26="Robot",'İşçilik Parametreleri'!$B$26="HTD"),'İşçilik Parametreleri'!$B$30,'İşçilik Parametreleri'!$B$29))*'İşçilik Parametreleri'!$B$31</f>
        <v>11.472</v>
      </c>
      <c r="Z148" s="74">
        <f t="shared" si="17"/>
        <v>19.880699999999997</v>
      </c>
      <c r="AA148" s="75" t="s">
        <v>86</v>
      </c>
      <c r="AB148" s="76">
        <v>10000</v>
      </c>
      <c r="AC148" s="77">
        <f>IF(AA148="Kataforez",N(AB148),IF(AA148="Yaş boya",'İşçilik Parametreleri'!$B$6/MAX(1,ROUND(IF(ISNUMBER(AB148),AB148,'İşçilik Parametreleri'!$B$7),0)),0))</f>
        <v>8.0000000000000002E-3</v>
      </c>
      <c r="AD148" s="78">
        <f>W148/100*'İşçilik Parametreleri'!$B$9+X148/100*'İşçilik Parametreleri'!$B$17+Y148/100*'İşçilik Parametreleri'!$B$25</f>
        <v>6.6268999999999991</v>
      </c>
      <c r="AE148" s="78">
        <f t="shared" si="18"/>
        <v>6.6348999999999991</v>
      </c>
      <c r="AF148" s="75">
        <v>1</v>
      </c>
      <c r="AG148" s="84">
        <f>AD148*AF148+IF(AA148="Kataforez",N(AB148)*AF148,IF(AA148="Yaş boya",ROUNDUP(AF148/MAX(1,ROUND(IF(ISNUMBER(AB148),AB148,'İşçilik Parametreleri'!$B$7),0)),0)*'İşçilik Parametreleri'!$B$6,0))</f>
        <v>86.626900000000006</v>
      </c>
      <c r="AH148" s="70">
        <f t="shared" si="19"/>
        <v>0.33134499999999995</v>
      </c>
    </row>
    <row r="149" spans="1:34" ht="15" customHeight="1" x14ac:dyDescent="0.25">
      <c r="A149" s="82" t="s">
        <v>585</v>
      </c>
      <c r="B149" s="68" t="s">
        <v>439</v>
      </c>
      <c r="C149" s="69" t="s">
        <v>307</v>
      </c>
      <c r="D149" s="68" t="s">
        <v>194</v>
      </c>
      <c r="E149" s="68" t="s">
        <v>442</v>
      </c>
      <c r="F149" s="68">
        <v>1</v>
      </c>
      <c r="G149" s="68">
        <v>4</v>
      </c>
      <c r="H149" s="68">
        <v>3</v>
      </c>
      <c r="I149" s="68">
        <v>3</v>
      </c>
      <c r="J149" s="68">
        <v>3</v>
      </c>
      <c r="K149" s="70">
        <v>7.8029999999999999</v>
      </c>
      <c r="L149" s="70">
        <v>7.7009999999999996</v>
      </c>
      <c r="M149" s="71">
        <f t="shared" si="16"/>
        <v>-1.3071895424836642E-2</v>
      </c>
      <c r="N149" s="68">
        <v>2</v>
      </c>
      <c r="O149" s="68">
        <v>2</v>
      </c>
      <c r="P149" s="68">
        <v>0</v>
      </c>
      <c r="Q149" s="72">
        <v>0</v>
      </c>
      <c r="R149" s="72">
        <v>624</v>
      </c>
      <c r="S149" s="72">
        <v>0</v>
      </c>
      <c r="T149" s="72">
        <v>0</v>
      </c>
      <c r="U149" s="72">
        <v>0</v>
      </c>
      <c r="V149" s="73">
        <f>SUM(Q149:U149)*'İşçilik Parametreleri'!$B$28/1000</f>
        <v>0.624</v>
      </c>
      <c r="W149" s="70">
        <f>SUMIF('Büküm Parçaları'!$A$2:$A$213,A149,'Büküm Parçaları'!$I$2:$I$213)</f>
        <v>13.02375</v>
      </c>
      <c r="X149" s="70">
        <f>(I149*'İşçilik Parametreleri'!$B$18+IF(L149&gt;'İşçilik Parametreleri'!$B$21,'İşçilik Parametreleri'!$B$20,'İşçilik Parametreleri'!$B$19)+N149*'İşçilik Parametreleri'!$B$22)*'İşçilik Parametreleri'!$B$23</f>
        <v>10.4125</v>
      </c>
      <c r="Y149" s="70">
        <f>(IF('İşçilik Parametreleri'!$B$27="Resme göre",(Q149*INDEX('İşçilik Parametreleri'!$F$16:$I$20,1,MATCH('İşçilik Parametreleri'!$B$26,{"Manuel","Robot","HTD","Lazer"},0))+R149*INDEX('İşçilik Parametreleri'!$F$16:$I$20,2,MATCH('İşçilik Parametreleri'!$B$26,{"Manuel","Robot","HTD","Lazer"},0))+S149*INDEX('İşçilik Parametreleri'!$F$16:$I$20,3,MATCH('İşçilik Parametreleri'!$B$26,{"Manuel","Robot","HTD","Lazer"},0))+T149*INDEX('İşçilik Parametreleri'!$F$16:$I$20,4,MATCH('İşçilik Parametreleri'!$B$26,{"Manuel","Robot","HTD","Lazer"},0))+U149*INDEX('İşçilik Parametreleri'!$F$16:$I$20,5,MATCH('İşçilik Parametreleri'!$B$26,{"Manuel","Robot","HTD","Lazer"},0))),SUM(Q149:U149)*INDEX('İşçilik Parametreleri'!$F$16:$I$20,MATCH(VALUE('İşçilik Parametreleri'!$B$27),'İşçilik Parametreleri'!$E$16:$E$20,0),MATCH('İşçilik Parametreleri'!$B$26,{"Manuel","Robot","HTD","Lazer"},0)))*'İşçilik Parametreleri'!$B$28/1000+O149*IF(OR('İşçilik Parametreleri'!$B$26="Robot",'İşçilik Parametreleri'!$B$26="HTD"),'İşçilik Parametreleri'!$B$30,'İşçilik Parametreleri'!$B$29))*'İşçilik Parametreleri'!$B$31</f>
        <v>8.8640000000000008</v>
      </c>
      <c r="Z149" s="74">
        <f t="shared" si="17"/>
        <v>19.380150000000004</v>
      </c>
      <c r="AA149" s="75" t="s">
        <v>86</v>
      </c>
      <c r="AB149" s="76">
        <v>10000</v>
      </c>
      <c r="AC149" s="77">
        <f>IF(AA149="Kataforez",N(AB149),IF(AA149="Yaş boya",'İşçilik Parametreleri'!$B$6/MAX(1,ROUND(IF(ISNUMBER(AB149),AB149,'İşçilik Parametreleri'!$B$7),0)),0))</f>
        <v>8.0000000000000002E-3</v>
      </c>
      <c r="AD149" s="78">
        <f>W149/100*'İşçilik Parametreleri'!$B$9+X149/100*'İşçilik Parametreleri'!$B$17+Y149/100*'İşçilik Parametreleri'!$B$25</f>
        <v>6.4600500000000007</v>
      </c>
      <c r="AE149" s="78">
        <f t="shared" si="18"/>
        <v>6.4680500000000007</v>
      </c>
      <c r="AF149" s="75">
        <v>1</v>
      </c>
      <c r="AG149" s="84">
        <f>AD149*AF149+IF(AA149="Kataforez",N(AB149)*AF149,IF(AA149="Yaş boya",ROUNDUP(AF149/MAX(1,ROUND(IF(ISNUMBER(AB149),AB149,'İşçilik Parametreleri'!$B$7),0)),0)*'İşçilik Parametreleri'!$B$6,0))</f>
        <v>86.460049999999995</v>
      </c>
      <c r="AH149" s="70">
        <f t="shared" si="19"/>
        <v>0.32300250000000008</v>
      </c>
    </row>
    <row r="150" spans="1:34" ht="15" customHeight="1" x14ac:dyDescent="0.25">
      <c r="A150" s="82" t="s">
        <v>586</v>
      </c>
      <c r="B150" s="80" t="s">
        <v>23</v>
      </c>
      <c r="C150" s="81" t="s">
        <v>308</v>
      </c>
      <c r="D150" s="68" t="s">
        <v>194</v>
      </c>
      <c r="E150" s="68" t="s">
        <v>447</v>
      </c>
      <c r="F150" s="68">
        <v>1</v>
      </c>
      <c r="G150" s="68">
        <v>2</v>
      </c>
      <c r="H150" s="68">
        <v>3</v>
      </c>
      <c r="I150" s="68">
        <v>3</v>
      </c>
      <c r="J150" s="68">
        <v>0</v>
      </c>
      <c r="K150" s="70">
        <v>4.5759999999999996</v>
      </c>
      <c r="L150" s="70">
        <v>4.5720000000000001</v>
      </c>
      <c r="M150" s="71">
        <f t="shared" si="16"/>
        <v>-8.7412587412577796E-4</v>
      </c>
      <c r="N150" s="68">
        <v>2</v>
      </c>
      <c r="O150" s="68">
        <v>2</v>
      </c>
      <c r="P150" s="68">
        <v>0</v>
      </c>
      <c r="Q150" s="72">
        <v>0</v>
      </c>
      <c r="R150" s="72">
        <v>0</v>
      </c>
      <c r="S150" s="72">
        <v>200</v>
      </c>
      <c r="T150" s="72">
        <v>0</v>
      </c>
      <c r="U150" s="72">
        <v>0</v>
      </c>
      <c r="V150" s="73">
        <f>SUM(Q150:U150)*'İşçilik Parametreleri'!$B$28/1000</f>
        <v>0.2</v>
      </c>
      <c r="W150" s="70">
        <f>SUMIF('Büküm Parçaları'!$A$2:$A$213,A150,'Büküm Parçaları'!$I$2:$I$213)</f>
        <v>0</v>
      </c>
      <c r="X150" s="70">
        <f>(I150*'İşçilik Parametreleri'!$B$18+IF(L150&gt;'İşçilik Parametreleri'!$B$21,'İşçilik Parametreleri'!$B$20,'İşçilik Parametreleri'!$B$19)+N150*'İşçilik Parametreleri'!$B$22)*'İşçilik Parametreleri'!$B$23</f>
        <v>10.4125</v>
      </c>
      <c r="Y150" s="70">
        <f>(IF('İşçilik Parametreleri'!$B$27="Resme göre",(Q150*INDEX('İşçilik Parametreleri'!$F$16:$I$20,1,MATCH('İşçilik Parametreleri'!$B$26,{"Manuel","Robot","HTD","Lazer"},0))+R150*INDEX('İşçilik Parametreleri'!$F$16:$I$20,2,MATCH('İşçilik Parametreleri'!$B$26,{"Manuel","Robot","HTD","Lazer"},0))+S150*INDEX('İşçilik Parametreleri'!$F$16:$I$20,3,MATCH('İşçilik Parametreleri'!$B$26,{"Manuel","Robot","HTD","Lazer"},0))+T150*INDEX('İşçilik Parametreleri'!$F$16:$I$20,4,MATCH('İşçilik Parametreleri'!$B$26,{"Manuel","Robot","HTD","Lazer"},0))+U150*INDEX('İşçilik Parametreleri'!$F$16:$I$20,5,MATCH('İşçilik Parametreleri'!$B$26,{"Manuel","Robot","HTD","Lazer"},0))),SUM(Q150:U150)*INDEX('İşçilik Parametreleri'!$F$16:$I$20,MATCH(VALUE('İşçilik Parametreleri'!$B$27),'İşçilik Parametreleri'!$E$16:$E$20,0),MATCH('İşçilik Parametreleri'!$B$26,{"Manuel","Robot","HTD","Lazer"},0)))*'İşçilik Parametreleri'!$B$28/1000+O150*IF(OR('İşçilik Parametreleri'!$B$26="Robot",'İşçilik Parametreleri'!$B$26="HTD"),'İşçilik Parametreleri'!$B$30,'İşçilik Parametreleri'!$B$29))*'İşçilik Parametreleri'!$B$31</f>
        <v>5.6</v>
      </c>
      <c r="Z150" s="74">
        <f t="shared" si="17"/>
        <v>9.6074999999999999</v>
      </c>
      <c r="AA150" s="75" t="s">
        <v>86</v>
      </c>
      <c r="AB150" s="76">
        <v>10000</v>
      </c>
      <c r="AC150" s="77">
        <f>IF(AA150="Kataforez",N(AB150),IF(AA150="Yaş boya",'İşçilik Parametreleri'!$B$6/MAX(1,ROUND(IF(ISNUMBER(AB150),AB150,'İşçilik Parametreleri'!$B$7),0)),0))</f>
        <v>8.0000000000000002E-3</v>
      </c>
      <c r="AD150" s="78">
        <f>W150/100*'İşçilik Parametreleri'!$B$9+X150/100*'İşçilik Parametreleri'!$B$17+Y150/100*'İşçilik Parametreleri'!$B$25</f>
        <v>3.2024999999999997</v>
      </c>
      <c r="AE150" s="78">
        <f t="shared" si="18"/>
        <v>3.2104999999999997</v>
      </c>
      <c r="AF150" s="75">
        <v>2</v>
      </c>
      <c r="AG150" s="84">
        <f>AD150*AF150+IF(AA150="Kataforez",N(AB150)*AF150,IF(AA150="Yaş boya",ROUNDUP(AF150/MAX(1,ROUND(IF(ISNUMBER(AB150),AB150,'İşçilik Parametreleri'!$B$7),0)),0)*'İşçilik Parametreleri'!$B$6,0))</f>
        <v>86.405000000000001</v>
      </c>
      <c r="AH150" s="70">
        <f t="shared" si="19"/>
        <v>0.32024999999999998</v>
      </c>
    </row>
    <row r="151" spans="1:34" ht="15" customHeight="1" x14ac:dyDescent="0.25">
      <c r="A151" s="82" t="s">
        <v>587</v>
      </c>
      <c r="B151" s="80" t="s">
        <v>23</v>
      </c>
      <c r="C151" s="81" t="s">
        <v>309</v>
      </c>
      <c r="D151" s="68" t="s">
        <v>113</v>
      </c>
      <c r="E151" s="68" t="s">
        <v>442</v>
      </c>
      <c r="F151" s="68">
        <v>1</v>
      </c>
      <c r="G151" s="68">
        <v>2</v>
      </c>
      <c r="H151" s="68">
        <v>3</v>
      </c>
      <c r="I151" s="68">
        <v>3</v>
      </c>
      <c r="J151" s="68">
        <v>1</v>
      </c>
      <c r="K151" s="70">
        <v>6.6079999999999997</v>
      </c>
      <c r="L151" s="70">
        <v>6.5380000000000003</v>
      </c>
      <c r="M151" s="71">
        <f t="shared" si="16"/>
        <v>-1.059322033898296E-2</v>
      </c>
      <c r="N151" s="68">
        <v>4</v>
      </c>
      <c r="O151" s="68">
        <v>4</v>
      </c>
      <c r="P151" s="68">
        <v>0</v>
      </c>
      <c r="Q151" s="72">
        <v>500</v>
      </c>
      <c r="R151" s="72">
        <v>0</v>
      </c>
      <c r="S151" s="72">
        <v>0</v>
      </c>
      <c r="T151" s="72">
        <v>0</v>
      </c>
      <c r="U151" s="72">
        <v>0</v>
      </c>
      <c r="V151" s="73">
        <f>SUM(Q151:U151)*'İşçilik Parametreleri'!$B$28/1000</f>
        <v>0.5</v>
      </c>
      <c r="W151" s="70">
        <f>SUMIF('Büküm Parçaları'!$A$2:$A$213,A151,'Büküm Parçaları'!$I$2:$I$213)</f>
        <v>10.723750000000001</v>
      </c>
      <c r="X151" s="70">
        <f>(I151*'İşçilik Parametreleri'!$B$18+IF(L151&gt;'İşçilik Parametreleri'!$B$21,'İşçilik Parametreleri'!$B$20,'İşçilik Parametreleri'!$B$19)+N151*'İşçilik Parametreleri'!$B$22)*'İşçilik Parametreleri'!$B$23</f>
        <v>12.9125</v>
      </c>
      <c r="Y151" s="70">
        <f>(IF('İşçilik Parametreleri'!$B$27="Resme göre",(Q151*INDEX('İşçilik Parametreleri'!$F$16:$I$20,1,MATCH('İşçilik Parametreleri'!$B$26,{"Manuel","Robot","HTD","Lazer"},0))+R151*INDEX('İşçilik Parametreleri'!$F$16:$I$20,2,MATCH('İşçilik Parametreleri'!$B$26,{"Manuel","Robot","HTD","Lazer"},0))+S151*INDEX('İşçilik Parametreleri'!$F$16:$I$20,3,MATCH('İşçilik Parametreleri'!$B$26,{"Manuel","Robot","HTD","Lazer"},0))+T151*INDEX('İşçilik Parametreleri'!$F$16:$I$20,4,MATCH('İşçilik Parametreleri'!$B$26,{"Manuel","Robot","HTD","Lazer"},0))+U151*INDEX('İşçilik Parametreleri'!$F$16:$I$20,5,MATCH('İşçilik Parametreleri'!$B$26,{"Manuel","Robot","HTD","Lazer"},0))),SUM(Q151:U151)*INDEX('İşçilik Parametreleri'!$F$16:$I$20,MATCH(VALUE('İşçilik Parametreleri'!$B$27),'İşçilik Parametreleri'!$E$16:$E$20,0),MATCH('İşçilik Parametreleri'!$B$26,{"Manuel","Robot","HTD","Lazer"},0)))*'İşçilik Parametreleri'!$B$28/1000+O151*IF(OR('İşçilik Parametreleri'!$B$26="Robot",'İşçilik Parametreleri'!$B$26="HTD"),'İşçilik Parametreleri'!$B$30,'İşçilik Parametreleri'!$B$29))*'İşçilik Parametreleri'!$B$31</f>
        <v>7.5</v>
      </c>
      <c r="Z151" s="74">
        <f t="shared" si="17"/>
        <v>18.681750000000001</v>
      </c>
      <c r="AA151" s="75" t="s">
        <v>86</v>
      </c>
      <c r="AB151" s="76">
        <v>10000</v>
      </c>
      <c r="AC151" s="77">
        <f>IF(AA151="Kataforez",N(AB151),IF(AA151="Yaş boya",'İşçilik Parametreleri'!$B$6/MAX(1,ROUND(IF(ISNUMBER(AB151),AB151,'İşçilik Parametreleri'!$B$7),0)),0))</f>
        <v>8.0000000000000002E-3</v>
      </c>
      <c r="AD151" s="78">
        <f>W151/100*'İşçilik Parametreleri'!$B$9+X151/100*'İşçilik Parametreleri'!$B$17+Y151/100*'İşçilik Parametreleri'!$B$25</f>
        <v>6.2272499999999997</v>
      </c>
      <c r="AE151" s="78">
        <f t="shared" si="18"/>
        <v>6.2352499999999997</v>
      </c>
      <c r="AF151" s="75">
        <v>1</v>
      </c>
      <c r="AG151" s="84">
        <f>AD151*AF151+IF(AA151="Kataforez",N(AB151)*AF151,IF(AA151="Yaş boya",ROUNDUP(AF151/MAX(1,ROUND(IF(ISNUMBER(AB151),AB151,'İşçilik Parametreleri'!$B$7),0)),0)*'İşçilik Parametreleri'!$B$6,0))</f>
        <v>86.227249999999998</v>
      </c>
      <c r="AH151" s="70">
        <f t="shared" si="19"/>
        <v>0.31136249999999999</v>
      </c>
    </row>
    <row r="152" spans="1:34" ht="15" customHeight="1" x14ac:dyDescent="0.25">
      <c r="A152" s="82" t="s">
        <v>588</v>
      </c>
      <c r="B152" s="80" t="s">
        <v>23</v>
      </c>
      <c r="C152" s="81" t="s">
        <v>310</v>
      </c>
      <c r="D152" s="68" t="s">
        <v>117</v>
      </c>
      <c r="E152" s="68" t="s">
        <v>442</v>
      </c>
      <c r="F152" s="68">
        <v>1</v>
      </c>
      <c r="G152" s="68">
        <v>2</v>
      </c>
      <c r="H152" s="68">
        <v>2</v>
      </c>
      <c r="I152" s="68">
        <v>2</v>
      </c>
      <c r="J152" s="68">
        <v>4</v>
      </c>
      <c r="K152" s="70">
        <v>5.1120000000000001</v>
      </c>
      <c r="L152" s="70">
        <v>5.1120000000000001</v>
      </c>
      <c r="M152" s="71">
        <f t="shared" si="16"/>
        <v>0</v>
      </c>
      <c r="N152" s="68">
        <v>5</v>
      </c>
      <c r="O152" s="68">
        <v>5</v>
      </c>
      <c r="P152" s="68">
        <v>0</v>
      </c>
      <c r="Q152" s="72">
        <v>200</v>
      </c>
      <c r="R152" s="72">
        <v>0</v>
      </c>
      <c r="S152" s="72">
        <v>0</v>
      </c>
      <c r="T152" s="72">
        <v>0</v>
      </c>
      <c r="U152" s="72">
        <v>0</v>
      </c>
      <c r="V152" s="73">
        <f>SUM(Q152:U152)*'İşçilik Parametreleri'!$B$28/1000</f>
        <v>0.2</v>
      </c>
      <c r="W152" s="70">
        <f>SUMIF('Büküm Parçaları'!$A$2:$A$213,A152,'Büküm Parçaları'!$I$2:$I$213)</f>
        <v>8.8549999999999986</v>
      </c>
      <c r="X152" s="70">
        <f>(I152*'İşçilik Parametreleri'!$B$18+IF(L152&gt;'İşçilik Parametreleri'!$B$21,'İşçilik Parametreleri'!$B$20,'İşçilik Parametreleri'!$B$19)+N152*'İşçilik Parametreleri'!$B$22)*'İşçilik Parametreleri'!$B$23</f>
        <v>12.9125</v>
      </c>
      <c r="Y152" s="70">
        <f>(IF('İşçilik Parametreleri'!$B$27="Resme göre",(Q152*INDEX('İşçilik Parametreleri'!$F$16:$I$20,1,MATCH('İşçilik Parametreleri'!$B$26,{"Manuel","Robot","HTD","Lazer"},0))+R152*INDEX('İşçilik Parametreleri'!$F$16:$I$20,2,MATCH('İşçilik Parametreleri'!$B$26,{"Manuel","Robot","HTD","Lazer"},0))+S152*INDEX('İşçilik Parametreleri'!$F$16:$I$20,3,MATCH('İşçilik Parametreleri'!$B$26,{"Manuel","Robot","HTD","Lazer"},0))+T152*INDEX('İşçilik Parametreleri'!$F$16:$I$20,4,MATCH('İşçilik Parametreleri'!$B$26,{"Manuel","Robot","HTD","Lazer"},0))+U152*INDEX('İşçilik Parametreleri'!$F$16:$I$20,5,MATCH('İşçilik Parametreleri'!$B$26,{"Manuel","Robot","HTD","Lazer"},0))),SUM(Q152:U152)*INDEX('İşçilik Parametreleri'!$F$16:$I$20,MATCH(VALUE('İşçilik Parametreleri'!$B$27),'İşçilik Parametreleri'!$E$16:$E$20,0),MATCH('İşçilik Parametreleri'!$B$26,{"Manuel","Robot","HTD","Lazer"},0)))*'İşçilik Parametreleri'!$B$28/1000+O152*IF(OR('İşçilik Parametreleri'!$B$26="Robot",'İşçilik Parametreleri'!$B$26="HTD"),'İşçilik Parametreleri'!$B$30,'İşçilik Parametreleri'!$B$29))*'İşçilik Parametreleri'!$B$31</f>
        <v>6.4</v>
      </c>
      <c r="Z152" s="74">
        <f t="shared" si="17"/>
        <v>16.900499999999997</v>
      </c>
      <c r="AA152" s="75" t="s">
        <v>86</v>
      </c>
      <c r="AB152" s="76">
        <v>10000</v>
      </c>
      <c r="AC152" s="77">
        <f>IF(AA152="Kataforez",N(AB152),IF(AA152="Yaş boya",'İşçilik Parametreleri'!$B$6/MAX(1,ROUND(IF(ISNUMBER(AB152),AB152,'İşçilik Parametreleri'!$B$7),0)),0))</f>
        <v>8.0000000000000002E-3</v>
      </c>
      <c r="AD152" s="78">
        <f>W152/100*'İşçilik Parametreleri'!$B$9+X152/100*'İşçilik Parametreleri'!$B$17+Y152/100*'İşçilik Parametreleri'!$B$25</f>
        <v>5.6334999999999997</v>
      </c>
      <c r="AE152" s="78">
        <f t="shared" si="18"/>
        <v>5.6414999999999997</v>
      </c>
      <c r="AF152" s="75">
        <v>1</v>
      </c>
      <c r="AG152" s="84">
        <f>AD152*AF152+IF(AA152="Kataforez",N(AB152)*AF152,IF(AA152="Yaş boya",ROUNDUP(AF152/MAX(1,ROUND(IF(ISNUMBER(AB152),AB152,'İşçilik Parametreleri'!$B$7),0)),0)*'İşçilik Parametreleri'!$B$6,0))</f>
        <v>85.633499999999998</v>
      </c>
      <c r="AH152" s="70">
        <f t="shared" si="19"/>
        <v>0.28167499999999995</v>
      </c>
    </row>
    <row r="153" spans="1:34" ht="15" customHeight="1" x14ac:dyDescent="0.25">
      <c r="A153" s="82" t="s">
        <v>589</v>
      </c>
      <c r="B153" s="80" t="s">
        <v>23</v>
      </c>
      <c r="C153" s="81" t="s">
        <v>311</v>
      </c>
      <c r="D153" s="68" t="s">
        <v>119</v>
      </c>
      <c r="E153" s="68" t="s">
        <v>442</v>
      </c>
      <c r="F153" s="68">
        <v>1</v>
      </c>
      <c r="G153" s="68">
        <v>2</v>
      </c>
      <c r="H153" s="68">
        <v>2</v>
      </c>
      <c r="I153" s="68">
        <v>2</v>
      </c>
      <c r="J153" s="68">
        <v>4</v>
      </c>
      <c r="K153" s="70">
        <v>5.1120000000000001</v>
      </c>
      <c r="L153" s="70">
        <v>5.1120000000000001</v>
      </c>
      <c r="M153" s="71">
        <f t="shared" si="16"/>
        <v>0</v>
      </c>
      <c r="N153" s="68">
        <v>5</v>
      </c>
      <c r="O153" s="68">
        <v>5</v>
      </c>
      <c r="P153" s="68">
        <v>0</v>
      </c>
      <c r="Q153" s="72">
        <v>200</v>
      </c>
      <c r="R153" s="72">
        <v>0</v>
      </c>
      <c r="S153" s="72">
        <v>0</v>
      </c>
      <c r="T153" s="72">
        <v>0</v>
      </c>
      <c r="U153" s="72">
        <v>0</v>
      </c>
      <c r="V153" s="73">
        <f>SUM(Q153:U153)*'İşçilik Parametreleri'!$B$28/1000</f>
        <v>0.2</v>
      </c>
      <c r="W153" s="70">
        <f>SUMIF('Büküm Parçaları'!$A$2:$A$213,A153,'Büküm Parçaları'!$I$2:$I$213)</f>
        <v>8.8549999999999986</v>
      </c>
      <c r="X153" s="70">
        <f>(I153*'İşçilik Parametreleri'!$B$18+IF(L153&gt;'İşçilik Parametreleri'!$B$21,'İşçilik Parametreleri'!$B$20,'İşçilik Parametreleri'!$B$19)+N153*'İşçilik Parametreleri'!$B$22)*'İşçilik Parametreleri'!$B$23</f>
        <v>12.9125</v>
      </c>
      <c r="Y153" s="70">
        <f>(IF('İşçilik Parametreleri'!$B$27="Resme göre",(Q153*INDEX('İşçilik Parametreleri'!$F$16:$I$20,1,MATCH('İşçilik Parametreleri'!$B$26,{"Manuel","Robot","HTD","Lazer"},0))+R153*INDEX('İşçilik Parametreleri'!$F$16:$I$20,2,MATCH('İşçilik Parametreleri'!$B$26,{"Manuel","Robot","HTD","Lazer"},0))+S153*INDEX('İşçilik Parametreleri'!$F$16:$I$20,3,MATCH('İşçilik Parametreleri'!$B$26,{"Manuel","Robot","HTD","Lazer"},0))+T153*INDEX('İşçilik Parametreleri'!$F$16:$I$20,4,MATCH('İşçilik Parametreleri'!$B$26,{"Manuel","Robot","HTD","Lazer"},0))+U153*INDEX('İşçilik Parametreleri'!$F$16:$I$20,5,MATCH('İşçilik Parametreleri'!$B$26,{"Manuel","Robot","HTD","Lazer"},0))),SUM(Q153:U153)*INDEX('İşçilik Parametreleri'!$F$16:$I$20,MATCH(VALUE('İşçilik Parametreleri'!$B$27),'İşçilik Parametreleri'!$E$16:$E$20,0),MATCH('İşçilik Parametreleri'!$B$26,{"Manuel","Robot","HTD","Lazer"},0)))*'İşçilik Parametreleri'!$B$28/1000+O153*IF(OR('İşçilik Parametreleri'!$B$26="Robot",'İşçilik Parametreleri'!$B$26="HTD"),'İşçilik Parametreleri'!$B$30,'İşçilik Parametreleri'!$B$29))*'İşçilik Parametreleri'!$B$31</f>
        <v>6.4</v>
      </c>
      <c r="Z153" s="74">
        <f t="shared" si="17"/>
        <v>16.900499999999997</v>
      </c>
      <c r="AA153" s="75" t="s">
        <v>86</v>
      </c>
      <c r="AB153" s="76">
        <v>10000</v>
      </c>
      <c r="AC153" s="77">
        <f>IF(AA153="Kataforez",N(AB153),IF(AA153="Yaş boya",'İşçilik Parametreleri'!$B$6/MAX(1,ROUND(IF(ISNUMBER(AB153),AB153,'İşçilik Parametreleri'!$B$7),0)),0))</f>
        <v>8.0000000000000002E-3</v>
      </c>
      <c r="AD153" s="78">
        <f>W153/100*'İşçilik Parametreleri'!$B$9+X153/100*'İşçilik Parametreleri'!$B$17+Y153/100*'İşçilik Parametreleri'!$B$25</f>
        <v>5.6334999999999997</v>
      </c>
      <c r="AE153" s="78">
        <f t="shared" si="18"/>
        <v>5.6414999999999997</v>
      </c>
      <c r="AF153" s="75">
        <v>1</v>
      </c>
      <c r="AG153" s="84">
        <f>AD153*AF153+IF(AA153="Kataforez",N(AB153)*AF153,IF(AA153="Yaş boya",ROUNDUP(AF153/MAX(1,ROUND(IF(ISNUMBER(AB153),AB153,'İşçilik Parametreleri'!$B$7),0)),0)*'İşçilik Parametreleri'!$B$6,0))</f>
        <v>85.633499999999998</v>
      </c>
      <c r="AH153" s="70">
        <f t="shared" si="19"/>
        <v>0.28167499999999995</v>
      </c>
    </row>
    <row r="154" spans="1:34" ht="15" customHeight="1" x14ac:dyDescent="0.25">
      <c r="A154" s="82" t="s">
        <v>590</v>
      </c>
      <c r="B154" s="80" t="s">
        <v>23</v>
      </c>
      <c r="C154" s="81" t="s">
        <v>312</v>
      </c>
      <c r="D154" s="68" t="s">
        <v>117</v>
      </c>
      <c r="E154" s="68" t="s">
        <v>442</v>
      </c>
      <c r="F154" s="68">
        <v>0</v>
      </c>
      <c r="G154" s="68">
        <v>2</v>
      </c>
      <c r="H154" s="68">
        <v>2</v>
      </c>
      <c r="I154" s="68">
        <v>2</v>
      </c>
      <c r="J154" s="68">
        <v>0</v>
      </c>
      <c r="K154" s="70">
        <v>0.8</v>
      </c>
      <c r="L154" s="70">
        <v>0.78800000000000003</v>
      </c>
      <c r="M154" s="71">
        <f t="shared" si="16"/>
        <v>-1.5000000000000013E-2</v>
      </c>
      <c r="N154" s="68">
        <v>1</v>
      </c>
      <c r="O154" s="68">
        <v>1</v>
      </c>
      <c r="P154" s="68">
        <v>0</v>
      </c>
      <c r="Q154" s="72">
        <v>180</v>
      </c>
      <c r="R154" s="72">
        <v>0</v>
      </c>
      <c r="S154" s="72">
        <v>0</v>
      </c>
      <c r="T154" s="72">
        <v>0</v>
      </c>
      <c r="U154" s="72">
        <v>0</v>
      </c>
      <c r="V154" s="73">
        <f>SUM(Q154:U154)*'İşçilik Parametreleri'!$B$28/1000</f>
        <v>0.18</v>
      </c>
      <c r="W154" s="70">
        <f>SUMIF('Büküm Parçaları'!$A$2:$A$213,A154,'Büküm Parçaları'!$I$2:$I$213)</f>
        <v>0</v>
      </c>
      <c r="X154" s="70">
        <f>(I154*'İşçilik Parametreleri'!$B$18+IF(L154&gt;'İşçilik Parametreleri'!$B$21,'İşçilik Parametreleri'!$B$20,'İşçilik Parametreleri'!$B$19)+N154*'İşçilik Parametreleri'!$B$22)*'İşçilik Parametreleri'!$B$23</f>
        <v>7.9124999999999996</v>
      </c>
      <c r="Y154" s="70">
        <f>(IF('İşçilik Parametreleri'!$B$27="Resme göre",(Q154*INDEX('İşçilik Parametreleri'!$F$16:$I$20,1,MATCH('İşçilik Parametreleri'!$B$26,{"Manuel","Robot","HTD","Lazer"},0))+R154*INDEX('İşçilik Parametreleri'!$F$16:$I$20,2,MATCH('İşçilik Parametreleri'!$B$26,{"Manuel","Robot","HTD","Lazer"},0))+S154*INDEX('İşçilik Parametreleri'!$F$16:$I$20,3,MATCH('İşçilik Parametreleri'!$B$26,{"Manuel","Robot","HTD","Lazer"},0))+T154*INDEX('İşçilik Parametreleri'!$F$16:$I$20,4,MATCH('İşçilik Parametreleri'!$B$26,{"Manuel","Robot","HTD","Lazer"},0))+U154*INDEX('İşçilik Parametreleri'!$F$16:$I$20,5,MATCH('İşçilik Parametreleri'!$B$26,{"Manuel","Robot","HTD","Lazer"},0))),SUM(Q154:U154)*INDEX('İşçilik Parametreleri'!$F$16:$I$20,MATCH(VALUE('İşçilik Parametreleri'!$B$27),'İşçilik Parametreleri'!$E$16:$E$20,0),MATCH('İşçilik Parametreleri'!$B$26,{"Manuel","Robot","HTD","Lazer"},0)))*'İşçilik Parametreleri'!$B$28/1000+O154*IF(OR('İşçilik Parametreleri'!$B$26="Robot",'İşçilik Parametreleri'!$B$26="HTD"),'İşçilik Parametreleri'!$B$30,'İşçilik Parametreleri'!$B$29))*'İşçilik Parametreleri'!$B$31</f>
        <v>2.2599999999999998</v>
      </c>
      <c r="Z154" s="74">
        <f t="shared" si="17"/>
        <v>6.1034999999999995</v>
      </c>
      <c r="AA154" s="75" t="s">
        <v>86</v>
      </c>
      <c r="AB154" s="76">
        <v>10000</v>
      </c>
      <c r="AC154" s="77">
        <f>IF(AA154="Kataforez",N(AB154),IF(AA154="Yaş boya",'İşçilik Parametreleri'!$B$6/MAX(1,ROUND(IF(ISNUMBER(AB154),AB154,'İşçilik Parametreleri'!$B$7),0)),0))</f>
        <v>8.0000000000000002E-3</v>
      </c>
      <c r="AD154" s="78">
        <f>W154/100*'İşçilik Parametreleri'!$B$9+X154/100*'İşçilik Parametreleri'!$B$17+Y154/100*'İşçilik Parametreleri'!$B$25</f>
        <v>2.0345</v>
      </c>
      <c r="AE154" s="78">
        <f t="shared" si="18"/>
        <v>2.0425</v>
      </c>
      <c r="AF154" s="75">
        <v>2</v>
      </c>
      <c r="AG154" s="84">
        <f>AD154*AF154+IF(AA154="Kataforez",N(AB154)*AF154,IF(AA154="Yaş boya",ROUNDUP(AF154/MAX(1,ROUND(IF(ISNUMBER(AB154),AB154,'İşçilik Parametreleri'!$B$7),0)),0)*'İşçilik Parametreleri'!$B$6,0))</f>
        <v>84.069000000000003</v>
      </c>
      <c r="AH154" s="70">
        <f t="shared" si="19"/>
        <v>0.20344999999999999</v>
      </c>
    </row>
    <row r="155" spans="1:34" ht="15" customHeight="1" x14ac:dyDescent="0.25">
      <c r="A155" s="82" t="s">
        <v>591</v>
      </c>
      <c r="B155" s="80" t="s">
        <v>23</v>
      </c>
      <c r="C155" s="81" t="s">
        <v>314</v>
      </c>
      <c r="D155" s="68" t="s">
        <v>156</v>
      </c>
      <c r="E155" s="68" t="s">
        <v>442</v>
      </c>
      <c r="F155" s="68">
        <v>1</v>
      </c>
      <c r="G155" s="68">
        <v>2</v>
      </c>
      <c r="H155" s="68">
        <v>3</v>
      </c>
      <c r="I155" s="68">
        <v>3</v>
      </c>
      <c r="J155" s="68">
        <v>0</v>
      </c>
      <c r="K155" s="70">
        <v>4.2910000000000004</v>
      </c>
      <c r="L155" s="70">
        <v>4.2750000000000004</v>
      </c>
      <c r="M155" s="71">
        <f t="shared" si="16"/>
        <v>-3.7287345607084623E-3</v>
      </c>
      <c r="N155" s="68">
        <v>3</v>
      </c>
      <c r="O155" s="68">
        <v>3</v>
      </c>
      <c r="P155" s="68">
        <v>0</v>
      </c>
      <c r="Q155" s="72">
        <v>399</v>
      </c>
      <c r="R155" s="72">
        <v>0</v>
      </c>
      <c r="S155" s="72">
        <v>0</v>
      </c>
      <c r="T155" s="72">
        <v>0</v>
      </c>
      <c r="U155" s="72">
        <v>0</v>
      </c>
      <c r="V155" s="73">
        <f>SUM(Q155:U155)*'İşçilik Parametreleri'!$B$28/1000</f>
        <v>0.39900000000000002</v>
      </c>
      <c r="W155" s="70">
        <f>SUMIF('Büküm Parçaları'!$A$2:$A$213,A155,'Büküm Parçaları'!$I$2:$I$213)</f>
        <v>0</v>
      </c>
      <c r="X155" s="70">
        <f>(I155*'İşçilik Parametreleri'!$B$18+IF(L155&gt;'İşçilik Parametreleri'!$B$21,'İşçilik Parametreleri'!$B$20,'İşçilik Parametreleri'!$B$19)+N155*'İşçilik Parametreleri'!$B$22)*'İşçilik Parametreleri'!$B$23</f>
        <v>11.6625</v>
      </c>
      <c r="Y155" s="70">
        <f>(IF('İşçilik Parametreleri'!$B$27="Resme göre",(Q155*INDEX('İşçilik Parametreleri'!$F$16:$I$20,1,MATCH('İşçilik Parametreleri'!$B$26,{"Manuel","Robot","HTD","Lazer"},0))+R155*INDEX('İşçilik Parametreleri'!$F$16:$I$20,2,MATCH('İşçilik Parametreleri'!$B$26,{"Manuel","Robot","HTD","Lazer"},0))+S155*INDEX('İşçilik Parametreleri'!$F$16:$I$20,3,MATCH('İşçilik Parametreleri'!$B$26,{"Manuel","Robot","HTD","Lazer"},0))+T155*INDEX('İşçilik Parametreleri'!$F$16:$I$20,4,MATCH('İşçilik Parametreleri'!$B$26,{"Manuel","Robot","HTD","Lazer"},0))+U155*INDEX('İşçilik Parametreleri'!$F$16:$I$20,5,MATCH('İşçilik Parametreleri'!$B$26,{"Manuel","Robot","HTD","Lazer"},0))),SUM(Q155:U155)*INDEX('İşçilik Parametreleri'!$F$16:$I$20,MATCH(VALUE('İşçilik Parametreleri'!$B$27),'İşçilik Parametreleri'!$E$16:$E$20,0),MATCH('İşçilik Parametreleri'!$B$26,{"Manuel","Robot","HTD","Lazer"},0)))*'İşçilik Parametreleri'!$B$28/1000+O155*IF(OR('İşçilik Parametreleri'!$B$26="Robot",'İşçilik Parametreleri'!$B$26="HTD"),'İşçilik Parametreleri'!$B$30,'İşçilik Parametreleri'!$B$29))*'İşçilik Parametreleri'!$B$31</f>
        <v>5.7930000000000001</v>
      </c>
      <c r="Z155" s="74">
        <f t="shared" si="17"/>
        <v>10.4733</v>
      </c>
      <c r="AA155" s="75" t="s">
        <v>86</v>
      </c>
      <c r="AB155" s="76">
        <v>10000</v>
      </c>
      <c r="AC155" s="77">
        <f>IF(AA155="Kataforez",N(AB155),IF(AA155="Yaş boya",'İşçilik Parametreleri'!$B$6/MAX(1,ROUND(IF(ISNUMBER(AB155),AB155,'İşçilik Parametreleri'!$B$7),0)),0))</f>
        <v>8.0000000000000002E-3</v>
      </c>
      <c r="AD155" s="78">
        <f>W155/100*'İşçilik Parametreleri'!$B$9+X155/100*'İşçilik Parametreleri'!$B$17+Y155/100*'İşçilik Parametreleri'!$B$25</f>
        <v>3.4911000000000003</v>
      </c>
      <c r="AE155" s="78">
        <f t="shared" si="18"/>
        <v>3.4991000000000003</v>
      </c>
      <c r="AF155" s="75">
        <v>1</v>
      </c>
      <c r="AG155" s="84">
        <f>AD155*AF155+IF(AA155="Kataforez",N(AB155)*AF155,IF(AA155="Yaş boya",ROUNDUP(AF155/MAX(1,ROUND(IF(ISNUMBER(AB155),AB155,'İşçilik Parametreleri'!$B$7),0)),0)*'İşçilik Parametreleri'!$B$6,0))</f>
        <v>83.491100000000003</v>
      </c>
      <c r="AH155" s="70">
        <f t="shared" si="19"/>
        <v>0.17455500000000002</v>
      </c>
    </row>
    <row r="156" spans="1:34" ht="15" customHeight="1" x14ac:dyDescent="0.25">
      <c r="A156" s="82" t="s">
        <v>592</v>
      </c>
      <c r="B156" s="80" t="s">
        <v>23</v>
      </c>
      <c r="C156" s="81" t="s">
        <v>316</v>
      </c>
      <c r="D156" s="68" t="s">
        <v>119</v>
      </c>
      <c r="E156" s="68" t="s">
        <v>442</v>
      </c>
      <c r="F156" s="68">
        <v>1</v>
      </c>
      <c r="G156" s="68">
        <v>2</v>
      </c>
      <c r="H156" s="68">
        <v>2</v>
      </c>
      <c r="I156" s="68">
        <v>2</v>
      </c>
      <c r="J156" s="68">
        <v>0</v>
      </c>
      <c r="K156" s="70">
        <v>3.3260000000000001</v>
      </c>
      <c r="L156" s="70">
        <v>3.2959999999999998</v>
      </c>
      <c r="M156" s="71">
        <f t="shared" si="16"/>
        <v>-9.0198436560433703E-3</v>
      </c>
      <c r="N156" s="68">
        <v>1</v>
      </c>
      <c r="O156" s="68">
        <v>1</v>
      </c>
      <c r="P156" s="68">
        <v>0</v>
      </c>
      <c r="Q156" s="72">
        <v>0</v>
      </c>
      <c r="R156" s="72">
        <v>320</v>
      </c>
      <c r="S156" s="72">
        <v>0</v>
      </c>
      <c r="T156" s="72">
        <v>0</v>
      </c>
      <c r="U156" s="72">
        <v>0</v>
      </c>
      <c r="V156" s="73">
        <f>SUM(Q156:U156)*'İşçilik Parametreleri'!$B$28/1000</f>
        <v>0.32</v>
      </c>
      <c r="W156" s="70">
        <f>SUMIF('Büküm Parçaları'!$A$2:$A$213,A156,'Büküm Parçaları'!$I$2:$I$213)</f>
        <v>0</v>
      </c>
      <c r="X156" s="70">
        <f>(I156*'İşçilik Parametreleri'!$B$18+IF(L156&gt;'İşçilik Parametreleri'!$B$21,'İşçilik Parametreleri'!$B$20,'İşçilik Parametreleri'!$B$19)+N156*'İşçilik Parametreleri'!$B$22)*'İşçilik Parametreleri'!$B$23</f>
        <v>7.9124999999999996</v>
      </c>
      <c r="Y156" s="70">
        <f>(IF('İşçilik Parametreleri'!$B$27="Resme göre",(Q156*INDEX('İşçilik Parametreleri'!$F$16:$I$20,1,MATCH('İşçilik Parametreleri'!$B$26,{"Manuel","Robot","HTD","Lazer"},0))+R156*INDEX('İşçilik Parametreleri'!$F$16:$I$20,2,MATCH('İşçilik Parametreleri'!$B$26,{"Manuel","Robot","HTD","Lazer"},0))+S156*INDEX('İşçilik Parametreleri'!$F$16:$I$20,3,MATCH('İşçilik Parametreleri'!$B$26,{"Manuel","Robot","HTD","Lazer"},0))+T156*INDEX('İşçilik Parametreleri'!$F$16:$I$20,4,MATCH('İşçilik Parametreleri'!$B$26,{"Manuel","Robot","HTD","Lazer"},0))+U156*INDEX('İşçilik Parametreleri'!$F$16:$I$20,5,MATCH('İşçilik Parametreleri'!$B$26,{"Manuel","Robot","HTD","Lazer"},0))),SUM(Q156:U156)*INDEX('İşçilik Parametreleri'!$F$16:$I$20,MATCH(VALUE('İşçilik Parametreleri'!$B$27),'İşçilik Parametreleri'!$E$16:$E$20,0),MATCH('İşçilik Parametreleri'!$B$26,{"Manuel","Robot","HTD","Lazer"},0)))*'İşçilik Parametreleri'!$B$28/1000+O156*IF(OR('İşçilik Parametreleri'!$B$26="Robot",'İşçilik Parametreleri'!$B$26="HTD"),'İşçilik Parametreleri'!$B$30,'İşçilik Parametreleri'!$B$29))*'İşçilik Parametreleri'!$B$31</f>
        <v>4.5199999999999996</v>
      </c>
      <c r="Z156" s="74">
        <f t="shared" si="17"/>
        <v>7.4594999999999994</v>
      </c>
      <c r="AA156" s="75" t="s">
        <v>86</v>
      </c>
      <c r="AB156" s="76">
        <v>10000</v>
      </c>
      <c r="AC156" s="77">
        <f>IF(AA156="Kataforez",N(AB156),IF(AA156="Yaş boya",'İşçilik Parametreleri'!$B$6/MAX(1,ROUND(IF(ISNUMBER(AB156),AB156,'İşçilik Parametreleri'!$B$7),0)),0))</f>
        <v>8.0000000000000002E-3</v>
      </c>
      <c r="AD156" s="78">
        <f>W156/100*'İşçilik Parametreleri'!$B$9+X156/100*'İşçilik Parametreleri'!$B$17+Y156/100*'İşçilik Parametreleri'!$B$25</f>
        <v>2.4864999999999999</v>
      </c>
      <c r="AE156" s="78">
        <f t="shared" si="18"/>
        <v>2.4944999999999999</v>
      </c>
      <c r="AF156" s="75">
        <v>1</v>
      </c>
      <c r="AG156" s="84">
        <f>AD156*AF156+IF(AA156="Kataforez",N(AB156)*AF156,IF(AA156="Yaş boya",ROUNDUP(AF156/MAX(1,ROUND(IF(ISNUMBER(AB156),AB156,'İşçilik Parametreleri'!$B$7),0)),0)*'İşçilik Parametreleri'!$B$6,0))</f>
        <v>82.486500000000007</v>
      </c>
      <c r="AH156" s="70">
        <f t="shared" si="19"/>
        <v>0.12432499999999999</v>
      </c>
    </row>
    <row r="157" spans="1:34" ht="15" customHeight="1" x14ac:dyDescent="0.25">
      <c r="A157" s="67" t="s">
        <v>593</v>
      </c>
      <c r="B157" s="85" t="s">
        <v>439</v>
      </c>
      <c r="C157" s="69" t="s">
        <v>318</v>
      </c>
      <c r="D157" s="68" t="s">
        <v>84</v>
      </c>
      <c r="E157" s="68" t="s">
        <v>130</v>
      </c>
      <c r="F157" s="68">
        <v>1</v>
      </c>
      <c r="G157" s="68">
        <v>2</v>
      </c>
      <c r="H157" s="68">
        <v>5</v>
      </c>
      <c r="I157" s="68">
        <v>5</v>
      </c>
      <c r="J157" s="68">
        <v>4</v>
      </c>
      <c r="K157" s="70">
        <v>18.716000000000001</v>
      </c>
      <c r="L157" s="70">
        <v>18.771000000000001</v>
      </c>
      <c r="M157" s="71">
        <f t="shared" si="16"/>
        <v>2.9386621072878668E-3</v>
      </c>
      <c r="N157" s="68">
        <v>4</v>
      </c>
      <c r="O157" s="68">
        <v>4</v>
      </c>
      <c r="P157" s="68">
        <v>0</v>
      </c>
      <c r="Q157" s="86">
        <f>964+360</f>
        <v>1324</v>
      </c>
      <c r="R157" s="72">
        <v>0</v>
      </c>
      <c r="S157" s="72">
        <v>0</v>
      </c>
      <c r="T157" s="72">
        <v>0</v>
      </c>
      <c r="U157" s="72">
        <v>0</v>
      </c>
      <c r="V157" s="73">
        <f>SUM(Q157:U157)*'İşçilik Parametreleri'!$B$28/1000</f>
        <v>1.3240000000000001</v>
      </c>
      <c r="W157" s="70">
        <f>SUMIF('Büküm Parçaları'!$A$2:$A$213,A157,'Büküm Parçaları'!$I$2:$I$213)</f>
        <v>14.17375</v>
      </c>
      <c r="X157" s="70">
        <f>(I157*'İşçilik Parametreleri'!$B$18+IF(L157&gt;'İşçilik Parametreleri'!$B$21,'İşçilik Parametreleri'!$B$20,'İşçilik Parametreleri'!$B$19)+N157*'İşçilik Parametreleri'!$B$22)*'İşçilik Parametreleri'!$B$23</f>
        <v>15.4125</v>
      </c>
      <c r="Y157" s="70">
        <f>(IF('İşçilik Parametreleri'!$B$27="Resme göre",(Q157*INDEX('İşçilik Parametreleri'!$F$16:$I$20,1,MATCH('İşçilik Parametreleri'!$B$26,{"Manuel","Robot","HTD","Lazer"},0))+R157*INDEX('İşçilik Parametreleri'!$F$16:$I$20,2,MATCH('İşçilik Parametreleri'!$B$26,{"Manuel","Robot","HTD","Lazer"},0))+S157*INDEX('İşçilik Parametreleri'!$F$16:$I$20,3,MATCH('İşçilik Parametreleri'!$B$26,{"Manuel","Robot","HTD","Lazer"},0))+T157*INDEX('İşçilik Parametreleri'!$F$16:$I$20,4,MATCH('İşçilik Parametreleri'!$B$26,{"Manuel","Robot","HTD","Lazer"},0))+U157*INDEX('İşçilik Parametreleri'!$F$16:$I$20,5,MATCH('İşçilik Parametreleri'!$B$26,{"Manuel","Robot","HTD","Lazer"},0))),SUM(Q157:U157)*INDEX('İşçilik Parametreleri'!$F$16:$I$20,MATCH(VALUE('İşçilik Parametreleri'!$B$27),'İşçilik Parametreleri'!$E$16:$E$20,0),MATCH('İşçilik Parametreleri'!$B$26,{"Manuel","Robot","HTD","Lazer"},0)))*'İşçilik Parametreleri'!$B$28/1000+O157*IF(OR('İşçilik Parametreleri'!$B$26="Robot",'İşçilik Parametreleri'!$B$26="HTD"),'İşçilik Parametreleri'!$B$30,'İşçilik Parametreleri'!$B$29))*'İşçilik Parametreleri'!$B$31</f>
        <v>13.268000000000001</v>
      </c>
      <c r="Z157" s="74">
        <f t="shared" si="17"/>
        <v>25.71255</v>
      </c>
      <c r="AA157" s="75" t="s">
        <v>124</v>
      </c>
      <c r="AB157" s="76"/>
      <c r="AC157" s="77">
        <f>IF(AA157="Kataforez",N(AB157),IF(AA157="Yaş boya",'İşçilik Parametreleri'!$B$6/MAX(1,ROUND(IF(ISNUMBER(AB157),AB157,'İşçilik Parametreleri'!$B$7),0)),0))</f>
        <v>0</v>
      </c>
      <c r="AD157" s="78">
        <f>W157/100*'İşçilik Parametreleri'!$B$9+X157/100*'İşçilik Parametreleri'!$B$17+Y157/100*'İşçilik Parametreleri'!$B$25</f>
        <v>8.5708500000000001</v>
      </c>
      <c r="AE157" s="78">
        <f t="shared" si="18"/>
        <v>8.5708500000000001</v>
      </c>
      <c r="AF157" s="75">
        <v>16</v>
      </c>
      <c r="AG157" s="84">
        <f>AD157*AF157+IF(AA157="Kataforez",N(AB157)*AF157,IF(AA157="Yaş boya",ROUNDUP(AF157/MAX(1,ROUND(IF(ISNUMBER(AB157),AB157,'İşçilik Parametreleri'!$B$7),0)),0)*'İşçilik Parametreleri'!$B$6,0))</f>
        <v>137.1336</v>
      </c>
      <c r="AH157" s="70">
        <f t="shared" si="19"/>
        <v>6.8566799999999999</v>
      </c>
    </row>
    <row r="158" spans="1:34" ht="15" customHeight="1" x14ac:dyDescent="0.25">
      <c r="A158" s="82" t="s">
        <v>594</v>
      </c>
      <c r="B158" s="80" t="s">
        <v>23</v>
      </c>
      <c r="C158" s="81" t="s">
        <v>319</v>
      </c>
      <c r="D158" s="68" t="s">
        <v>84</v>
      </c>
      <c r="E158" s="68" t="s">
        <v>94</v>
      </c>
      <c r="F158" s="68">
        <v>1</v>
      </c>
      <c r="G158" s="68">
        <v>2</v>
      </c>
      <c r="H158" s="68">
        <v>6</v>
      </c>
      <c r="I158" s="68">
        <v>6</v>
      </c>
      <c r="J158" s="68">
        <v>6</v>
      </c>
      <c r="K158" s="70">
        <v>8.6489999999999991</v>
      </c>
      <c r="L158" s="70">
        <v>8.6489999999999991</v>
      </c>
      <c r="M158" s="71">
        <f t="shared" si="16"/>
        <v>0</v>
      </c>
      <c r="N158" s="68">
        <v>5</v>
      </c>
      <c r="O158" s="68">
        <v>5</v>
      </c>
      <c r="P158" s="68">
        <v>0</v>
      </c>
      <c r="Q158" s="72">
        <v>760</v>
      </c>
      <c r="R158" s="72">
        <v>0</v>
      </c>
      <c r="S158" s="72">
        <v>0</v>
      </c>
      <c r="T158" s="72">
        <v>0</v>
      </c>
      <c r="U158" s="72">
        <v>0</v>
      </c>
      <c r="V158" s="73">
        <f>SUM(Q158:U158)*'İşçilik Parametreleri'!$B$28/1000</f>
        <v>0.76</v>
      </c>
      <c r="W158" s="70">
        <f>SUMIF('Büküm Parçaları'!$A$2:$A$213,A158,'Büküm Parçaları'!$I$2:$I$213)</f>
        <v>19.664999999999999</v>
      </c>
      <c r="X158" s="70">
        <f>(I158*'İşçilik Parametreleri'!$B$18+IF(L158&gt;'İşçilik Parametreleri'!$B$21,'İşçilik Parametreleri'!$B$20,'İşçilik Parametreleri'!$B$19)+N158*'İşçilik Parametreleri'!$B$22)*'İşçilik Parametreleri'!$B$23</f>
        <v>17.912500000000001</v>
      </c>
      <c r="Y158" s="70">
        <f>(IF('İşçilik Parametreleri'!$B$27="Resme göre",(Q158*INDEX('İşçilik Parametreleri'!$F$16:$I$20,1,MATCH('İşçilik Parametreleri'!$B$26,{"Manuel","Robot","HTD","Lazer"},0))+R158*INDEX('İşçilik Parametreleri'!$F$16:$I$20,2,MATCH('İşçilik Parametreleri'!$B$26,{"Manuel","Robot","HTD","Lazer"},0))+S158*INDEX('İşçilik Parametreleri'!$F$16:$I$20,3,MATCH('İşçilik Parametreleri'!$B$26,{"Manuel","Robot","HTD","Lazer"},0))+T158*INDEX('İşçilik Parametreleri'!$F$16:$I$20,4,MATCH('İşçilik Parametreleri'!$B$26,{"Manuel","Robot","HTD","Lazer"},0))+U158*INDEX('İşçilik Parametreleri'!$F$16:$I$20,5,MATCH('İşçilik Parametreleri'!$B$26,{"Manuel","Robot","HTD","Lazer"},0))),SUM(Q158:U158)*INDEX('İşçilik Parametreleri'!$F$16:$I$20,MATCH(VALUE('İşçilik Parametreleri'!$B$27),'İşçilik Parametreleri'!$E$16:$E$20,0),MATCH('İşçilik Parametreleri'!$B$26,{"Manuel","Robot","HTD","Lazer"},0)))*'İşçilik Parametreleri'!$B$28/1000+O158*IF(OR('İşçilik Parametreleri'!$B$26="Robot",'İşçilik Parametreleri'!$B$26="HTD"),'İşçilik Parametreleri'!$B$30,'İşçilik Parametreleri'!$B$29))*'İşçilik Parametreleri'!$B$31</f>
        <v>10.32</v>
      </c>
      <c r="Z158" s="74">
        <f t="shared" si="17"/>
        <v>28.738499999999998</v>
      </c>
      <c r="AA158" s="75" t="s">
        <v>94</v>
      </c>
      <c r="AB158" s="76"/>
      <c r="AC158" s="77">
        <f>IF(AA158="Kataforez",N(AB158),IF(AA158="Yaş boya",'İşçilik Parametreleri'!$B$6/MAX(1,ROUND(IF(ISNUMBER(AB158),AB158,'İşçilik Parametreleri'!$B$7),0)),0))</f>
        <v>0</v>
      </c>
      <c r="AD158" s="78">
        <f>W158/100*'İşçilik Parametreleri'!$B$9+X158/100*'İşçilik Parametreleri'!$B$17+Y158/100*'İşçilik Parametreleri'!$B$25</f>
        <v>9.5794999999999995</v>
      </c>
      <c r="AE158" s="78">
        <f t="shared" si="18"/>
        <v>9.5794999999999995</v>
      </c>
      <c r="AF158" s="75">
        <v>12</v>
      </c>
      <c r="AG158" s="84">
        <f>AD158*AF158+IF(AA158="Kataforez",N(AB158)*AF158,IF(AA158="Yaş boya",ROUNDUP(AF158/MAX(1,ROUND(IF(ISNUMBER(AB158),AB158,'İşçilik Parametreleri'!$B$7),0)),0)*'İşçilik Parametreleri'!$B$6,0))</f>
        <v>114.95399999999999</v>
      </c>
      <c r="AH158" s="70">
        <f t="shared" si="19"/>
        <v>5.7477</v>
      </c>
    </row>
    <row r="159" spans="1:34" ht="15" customHeight="1" x14ac:dyDescent="0.25">
      <c r="A159" s="67" t="s">
        <v>595</v>
      </c>
      <c r="B159" s="68" t="s">
        <v>439</v>
      </c>
      <c r="C159" s="69" t="s">
        <v>320</v>
      </c>
      <c r="D159" s="68" t="s">
        <v>107</v>
      </c>
      <c r="E159" s="68" t="s">
        <v>130</v>
      </c>
      <c r="F159" s="68">
        <v>2</v>
      </c>
      <c r="G159" s="68">
        <v>3</v>
      </c>
      <c r="H159" s="68">
        <v>7</v>
      </c>
      <c r="I159" s="68">
        <v>7</v>
      </c>
      <c r="J159" s="68">
        <v>2</v>
      </c>
      <c r="K159" s="70">
        <v>21.303999999999998</v>
      </c>
      <c r="L159" s="70">
        <v>21.361000000000001</v>
      </c>
      <c r="M159" s="71">
        <f t="shared" si="16"/>
        <v>2.6755538865941685E-3</v>
      </c>
      <c r="N159" s="68">
        <v>8</v>
      </c>
      <c r="O159" s="68">
        <v>8</v>
      </c>
      <c r="P159" s="68">
        <v>0</v>
      </c>
      <c r="Q159" s="72">
        <v>1524</v>
      </c>
      <c r="R159" s="72">
        <v>0</v>
      </c>
      <c r="S159" s="72">
        <v>0</v>
      </c>
      <c r="T159" s="72">
        <v>0</v>
      </c>
      <c r="U159" s="72">
        <v>0</v>
      </c>
      <c r="V159" s="73">
        <f>SUM(Q159:U159)*'İşçilik Parametreleri'!$B$28/1000</f>
        <v>1.524</v>
      </c>
      <c r="W159" s="70">
        <f>SUMIF('Büküm Parçaları'!$A$2:$A$213,A159,'Büküm Parçaları'!$I$2:$I$213)</f>
        <v>11.873750000000001</v>
      </c>
      <c r="X159" s="70">
        <f>(I159*'İşçilik Parametreleri'!$B$18+IF(L159&gt;'İşçilik Parametreleri'!$B$21,'İşçilik Parametreleri'!$B$20,'İşçilik Parametreleri'!$B$19)+N159*'İşçilik Parametreleri'!$B$22)*'İşçilik Parametreleri'!$B$23</f>
        <v>22.912499999999998</v>
      </c>
      <c r="Y159" s="70">
        <f>(IF('İşçilik Parametreleri'!$B$27="Resme göre",(Q159*INDEX('İşçilik Parametreleri'!$F$16:$I$20,1,MATCH('İşçilik Parametreleri'!$B$26,{"Manuel","Robot","HTD","Lazer"},0))+R159*INDEX('İşçilik Parametreleri'!$F$16:$I$20,2,MATCH('İşçilik Parametreleri'!$B$26,{"Manuel","Robot","HTD","Lazer"},0))+S159*INDEX('İşçilik Parametreleri'!$F$16:$I$20,3,MATCH('İşçilik Parametreleri'!$B$26,{"Manuel","Robot","HTD","Lazer"},0))+T159*INDEX('İşçilik Parametreleri'!$F$16:$I$20,4,MATCH('İşçilik Parametreleri'!$B$26,{"Manuel","Robot","HTD","Lazer"},0))+U159*INDEX('İşçilik Parametreleri'!$F$16:$I$20,5,MATCH('İşçilik Parametreleri'!$B$26,{"Manuel","Robot","HTD","Lazer"},0))),SUM(Q159:U159)*INDEX('İşçilik Parametreleri'!$F$16:$I$20,MATCH(VALUE('İşçilik Parametreleri'!$B$27),'İşçilik Parametreleri'!$E$16:$E$20,0),MATCH('İşçilik Parametreleri'!$B$26,{"Manuel","Robot","HTD","Lazer"},0)))*'İşçilik Parametreleri'!$B$28/1000+O159*IF(OR('İşçilik Parametreleri'!$B$26="Robot",'İşçilik Parametreleri'!$B$26="HTD"),'İşçilik Parametreleri'!$B$30,'İşçilik Parametreleri'!$B$29))*'İşçilik Parametreleri'!$B$31</f>
        <v>18.667999999999999</v>
      </c>
      <c r="Z159" s="74">
        <f t="shared" si="17"/>
        <v>32.072549999999993</v>
      </c>
      <c r="AA159" s="75" t="s">
        <v>124</v>
      </c>
      <c r="AB159" s="76"/>
      <c r="AC159" s="77">
        <f>IF(AA159="Kataforez",N(AB159),IF(AA159="Yaş boya",'İşçilik Parametreleri'!$B$6/MAX(1,ROUND(IF(ISNUMBER(AB159),AB159,'İşçilik Parametreleri'!$B$7),0)),0))</f>
        <v>0</v>
      </c>
      <c r="AD159" s="78">
        <f>W159/100*'İşçilik Parametreleri'!$B$9+X159/100*'İşçilik Parametreleri'!$B$17+Y159/100*'İşçilik Parametreleri'!$B$25</f>
        <v>10.690849999999999</v>
      </c>
      <c r="AE159" s="78">
        <f t="shared" si="18"/>
        <v>10.690849999999999</v>
      </c>
      <c r="AF159" s="75">
        <v>10</v>
      </c>
      <c r="AG159" s="84">
        <f>AD159*AF159+IF(AA159="Kataforez",N(AB159)*AF159,IF(AA159="Yaş boya",ROUNDUP(AF159/MAX(1,ROUND(IF(ISNUMBER(AB159),AB159,'İşçilik Parametreleri'!$B$7),0)),0)*'İşçilik Parametreleri'!$B$6,0))</f>
        <v>106.90849999999999</v>
      </c>
      <c r="AH159" s="70">
        <f t="shared" si="19"/>
        <v>5.3454249999999988</v>
      </c>
    </row>
    <row r="160" spans="1:34" ht="15" customHeight="1" x14ac:dyDescent="0.25">
      <c r="A160" s="82" t="s">
        <v>596</v>
      </c>
      <c r="B160" s="80" t="s">
        <v>23</v>
      </c>
      <c r="C160" s="81" t="s">
        <v>321</v>
      </c>
      <c r="D160" s="68" t="s">
        <v>99</v>
      </c>
      <c r="E160" s="68" t="s">
        <v>130</v>
      </c>
      <c r="F160" s="68">
        <v>1</v>
      </c>
      <c r="G160" s="68">
        <v>2</v>
      </c>
      <c r="H160" s="68">
        <v>3</v>
      </c>
      <c r="I160" s="68">
        <v>3</v>
      </c>
      <c r="J160" s="68">
        <v>1</v>
      </c>
      <c r="K160" s="70">
        <v>3.16</v>
      </c>
      <c r="L160" s="70">
        <v>3.1589999999999998</v>
      </c>
      <c r="M160" s="71">
        <f t="shared" si="16"/>
        <v>-3.1645569620263731E-4</v>
      </c>
      <c r="N160" s="68">
        <v>3</v>
      </c>
      <c r="O160" s="68">
        <v>3</v>
      </c>
      <c r="P160" s="68">
        <v>0</v>
      </c>
      <c r="Q160" s="72">
        <v>0</v>
      </c>
      <c r="R160" s="72">
        <v>1782</v>
      </c>
      <c r="S160" s="72">
        <v>0</v>
      </c>
      <c r="T160" s="72">
        <v>0</v>
      </c>
      <c r="U160" s="72">
        <v>0</v>
      </c>
      <c r="V160" s="73">
        <f>SUM(Q160:U160)*'İşçilik Parametreleri'!$B$28/1000</f>
        <v>1.782</v>
      </c>
      <c r="W160" s="70">
        <f>SUMIF('Büküm Parçaları'!$A$2:$A$213,A160,'Büküm Parçaları'!$I$2:$I$213)</f>
        <v>5.4049999999999994</v>
      </c>
      <c r="X160" s="70">
        <f>(I160*'İşçilik Parametreleri'!$B$18+IF(L160&gt;'İşçilik Parametreleri'!$B$21,'İşçilik Parametreleri'!$B$20,'İşçilik Parametreleri'!$B$19)+N160*'İşçilik Parametreleri'!$B$22)*'İşçilik Parametreleri'!$B$23</f>
        <v>11.6625</v>
      </c>
      <c r="Y160" s="70">
        <f>(IF('İşçilik Parametreleri'!$B$27="Resme göre",(Q160*INDEX('İşçilik Parametreleri'!$F$16:$I$20,1,MATCH('İşçilik Parametreleri'!$B$26,{"Manuel","Robot","HTD","Lazer"},0))+R160*INDEX('İşçilik Parametreleri'!$F$16:$I$20,2,MATCH('İşçilik Parametreleri'!$B$26,{"Manuel","Robot","HTD","Lazer"},0))+S160*INDEX('İşçilik Parametreleri'!$F$16:$I$20,3,MATCH('İşçilik Parametreleri'!$B$26,{"Manuel","Robot","HTD","Lazer"},0))+T160*INDEX('İşçilik Parametreleri'!$F$16:$I$20,4,MATCH('İşçilik Parametreleri'!$B$26,{"Manuel","Robot","HTD","Lazer"},0))+U160*INDEX('İşçilik Parametreleri'!$F$16:$I$20,5,MATCH('İşçilik Parametreleri'!$B$26,{"Manuel","Robot","HTD","Lazer"},0))),SUM(Q160:U160)*INDEX('İşçilik Parametreleri'!$F$16:$I$20,MATCH(VALUE('İşçilik Parametreleri'!$B$27),'İşçilik Parametreleri'!$E$16:$E$20,0),MATCH('İşçilik Parametreleri'!$B$26,{"Manuel","Robot","HTD","Lazer"},0)))*'İşçilik Parametreleri'!$B$28/1000+O160*IF(OR('İşçilik Parametreleri'!$B$26="Robot",'İşçilik Parametreleri'!$B$26="HTD"),'İşçilik Parametreleri'!$B$30,'İşçilik Parametreleri'!$B$29))*'İşçilik Parametreleri'!$B$31</f>
        <v>22.602</v>
      </c>
      <c r="Z160" s="74">
        <f t="shared" si="17"/>
        <v>23.8017</v>
      </c>
      <c r="AA160" s="75" t="s">
        <v>124</v>
      </c>
      <c r="AB160" s="76"/>
      <c r="AC160" s="77">
        <f>IF(AA160="Kataforez",N(AB160),IF(AA160="Yaş boya",'İşçilik Parametreleri'!$B$6/MAX(1,ROUND(IF(ISNUMBER(AB160),AB160,'İşçilik Parametreleri'!$B$7),0)),0))</f>
        <v>0</v>
      </c>
      <c r="AD160" s="78">
        <f>W160/100*'İşçilik Parametreleri'!$B$9+X160/100*'İşçilik Parametreleri'!$B$17+Y160/100*'İşçilik Parametreleri'!$B$25</f>
        <v>7.9339000000000004</v>
      </c>
      <c r="AE160" s="78">
        <f t="shared" si="18"/>
        <v>7.9339000000000004</v>
      </c>
      <c r="AF160" s="75">
        <v>13</v>
      </c>
      <c r="AG160" s="84">
        <f>AD160*AF160+IF(AA160="Kataforez",N(AB160)*AF160,IF(AA160="Yaş boya",ROUNDUP(AF160/MAX(1,ROUND(IF(ISNUMBER(AB160),AB160,'İşçilik Parametreleri'!$B$7),0)),0)*'İşçilik Parametreleri'!$B$6,0))</f>
        <v>103.14070000000001</v>
      </c>
      <c r="AH160" s="70">
        <f t="shared" si="19"/>
        <v>5.1570349999999996</v>
      </c>
    </row>
    <row r="161" spans="1:34" ht="15" customHeight="1" x14ac:dyDescent="0.25">
      <c r="A161" s="82" t="s">
        <v>597</v>
      </c>
      <c r="B161" s="68" t="s">
        <v>439</v>
      </c>
      <c r="C161" s="69" t="s">
        <v>322</v>
      </c>
      <c r="D161" s="68" t="s">
        <v>130</v>
      </c>
      <c r="E161" s="68" t="s">
        <v>130</v>
      </c>
      <c r="F161" s="68">
        <v>2</v>
      </c>
      <c r="G161" s="68">
        <v>2</v>
      </c>
      <c r="H161" s="68">
        <v>3</v>
      </c>
      <c r="I161" s="68">
        <v>3</v>
      </c>
      <c r="J161" s="68">
        <v>0</v>
      </c>
      <c r="K161" s="70">
        <v>12.913</v>
      </c>
      <c r="L161" s="70">
        <v>10.333</v>
      </c>
      <c r="M161" s="71">
        <f t="shared" si="16"/>
        <v>-0.19979865252071555</v>
      </c>
      <c r="N161" s="68">
        <v>2</v>
      </c>
      <c r="O161" s="68">
        <v>2</v>
      </c>
      <c r="P161" s="68">
        <v>0</v>
      </c>
      <c r="Q161" s="72">
        <v>620</v>
      </c>
      <c r="R161" s="72">
        <v>0</v>
      </c>
      <c r="S161" s="72">
        <v>0</v>
      </c>
      <c r="T161" s="72">
        <v>0</v>
      </c>
      <c r="U161" s="72">
        <v>0</v>
      </c>
      <c r="V161" s="73">
        <f>SUM(Q161:U161)*'İşçilik Parametreleri'!$B$28/1000</f>
        <v>0.62</v>
      </c>
      <c r="W161" s="70">
        <f>SUMIF('Büküm Parçaları'!$A$2:$A$213,A161,'Büküm Parçaları'!$I$2:$I$213)</f>
        <v>0</v>
      </c>
      <c r="X161" s="70">
        <f>(I161*'İşçilik Parametreleri'!$B$18+IF(L161&gt;'İşçilik Parametreleri'!$B$21,'İşçilik Parametreleri'!$B$20,'İşçilik Parametreleri'!$B$19)+N161*'İşçilik Parametreleri'!$B$22)*'İşçilik Parametreleri'!$B$23</f>
        <v>10.4125</v>
      </c>
      <c r="Y161" s="70">
        <f>(IF('İşçilik Parametreleri'!$B$27="Resme göre",(Q161*INDEX('İşçilik Parametreleri'!$F$16:$I$20,1,MATCH('İşçilik Parametreleri'!$B$26,{"Manuel","Robot","HTD","Lazer"},0))+R161*INDEX('İşçilik Parametreleri'!$F$16:$I$20,2,MATCH('İşçilik Parametreleri'!$B$26,{"Manuel","Robot","HTD","Lazer"},0))+S161*INDEX('İşçilik Parametreleri'!$F$16:$I$20,3,MATCH('İşçilik Parametreleri'!$B$26,{"Manuel","Robot","HTD","Lazer"},0))+T161*INDEX('İşçilik Parametreleri'!$F$16:$I$20,4,MATCH('İşçilik Parametreleri'!$B$26,{"Manuel","Robot","HTD","Lazer"},0))+U161*INDEX('İşçilik Parametreleri'!$F$16:$I$20,5,MATCH('İşçilik Parametreleri'!$B$26,{"Manuel","Robot","HTD","Lazer"},0))),SUM(Q161:U161)*INDEX('İşçilik Parametreleri'!$F$16:$I$20,MATCH(VALUE('İşçilik Parametreleri'!$B$27),'İşçilik Parametreleri'!$E$16:$E$20,0),MATCH('İşçilik Parametreleri'!$B$26,{"Manuel","Robot","HTD","Lazer"},0)))*'İşçilik Parametreleri'!$B$28/1000+O161*IF(OR('İşçilik Parametreleri'!$B$26="Robot",'İşçilik Parametreleri'!$B$26="HTD"),'İşçilik Parametreleri'!$B$30,'İşçilik Parametreleri'!$B$29))*'İşçilik Parametreleri'!$B$31</f>
        <v>6.34</v>
      </c>
      <c r="Z161" s="74">
        <f t="shared" si="17"/>
        <v>10.051499999999999</v>
      </c>
      <c r="AA161" s="75" t="s">
        <v>124</v>
      </c>
      <c r="AB161" s="76"/>
      <c r="AC161" s="77">
        <f>IF(AA161="Kataforez",N(AB161),IF(AA161="Yaş boya",'İşçilik Parametreleri'!$B$6/MAX(1,ROUND(IF(ISNUMBER(AB161),AB161,'İşçilik Parametreleri'!$B$7),0)),0))</f>
        <v>0</v>
      </c>
      <c r="AD161" s="78">
        <f>W161/100*'İşçilik Parametreleri'!$B$9+X161/100*'İşçilik Parametreleri'!$B$17+Y161/100*'İşçilik Parametreleri'!$B$25</f>
        <v>3.3505000000000003</v>
      </c>
      <c r="AE161" s="78">
        <f t="shared" si="18"/>
        <v>3.3505000000000003</v>
      </c>
      <c r="AF161" s="75">
        <v>30</v>
      </c>
      <c r="AG161" s="84">
        <f>AD161*AF161+IF(AA161="Kataforez",N(AB161)*AF161,IF(AA161="Yaş boya",ROUNDUP(AF161/MAX(1,ROUND(IF(ISNUMBER(AB161),AB161,'İşçilik Parametreleri'!$B$7),0)),0)*'İşçilik Parametreleri'!$B$6,0))</f>
        <v>100.51500000000001</v>
      </c>
      <c r="AH161" s="70">
        <f t="shared" si="19"/>
        <v>5.0257499999999995</v>
      </c>
    </row>
    <row r="162" spans="1:34" ht="15" customHeight="1" x14ac:dyDescent="0.25">
      <c r="A162" s="82" t="s">
        <v>598</v>
      </c>
      <c r="B162" s="80" t="s">
        <v>23</v>
      </c>
      <c r="C162" s="81" t="s">
        <v>240</v>
      </c>
      <c r="D162" s="68" t="s">
        <v>139</v>
      </c>
      <c r="E162" s="68" t="s">
        <v>130</v>
      </c>
      <c r="F162" s="68">
        <v>1</v>
      </c>
      <c r="G162" s="68">
        <v>3</v>
      </c>
      <c r="H162" s="68">
        <v>2</v>
      </c>
      <c r="I162" s="68">
        <v>2</v>
      </c>
      <c r="J162" s="68">
        <v>3</v>
      </c>
      <c r="K162" s="70">
        <v>2.3940000000000001</v>
      </c>
      <c r="L162" s="70">
        <v>2.3940000000000001</v>
      </c>
      <c r="M162" s="71">
        <f t="shared" si="16"/>
        <v>0</v>
      </c>
      <c r="N162" s="68">
        <v>2</v>
      </c>
      <c r="O162" s="68">
        <v>2</v>
      </c>
      <c r="P162" s="68">
        <v>0</v>
      </c>
      <c r="Q162" s="72">
        <v>400</v>
      </c>
      <c r="R162" s="72">
        <v>0</v>
      </c>
      <c r="S162" s="72">
        <v>0</v>
      </c>
      <c r="T162" s="72">
        <v>0</v>
      </c>
      <c r="U162" s="72">
        <v>0</v>
      </c>
      <c r="V162" s="73">
        <f>SUM(Q162:U162)*'İşçilik Parametreleri'!$B$28/1000</f>
        <v>0.4</v>
      </c>
      <c r="W162" s="70">
        <f>SUMIF('Büküm Parçaları'!$A$2:$A$213,A162,'Büküm Parçaları'!$I$2:$I$213)</f>
        <v>11.959999999999999</v>
      </c>
      <c r="X162" s="70">
        <f>(I162*'İşçilik Parametreleri'!$B$18+IF(L162&gt;'İşçilik Parametreleri'!$B$21,'İşçilik Parametreleri'!$B$20,'İşçilik Parametreleri'!$B$19)+N162*'İşçilik Parametreleri'!$B$22)*'İşçilik Parametreleri'!$B$23</f>
        <v>9.1624999999999996</v>
      </c>
      <c r="Y162" s="70">
        <f>(IF('İşçilik Parametreleri'!$B$27="Resme göre",(Q162*INDEX('İşçilik Parametreleri'!$F$16:$I$20,1,MATCH('İşçilik Parametreleri'!$B$26,{"Manuel","Robot","HTD","Lazer"},0))+R162*INDEX('İşçilik Parametreleri'!$F$16:$I$20,2,MATCH('İşçilik Parametreleri'!$B$26,{"Manuel","Robot","HTD","Lazer"},0))+S162*INDEX('İşçilik Parametreleri'!$F$16:$I$20,3,MATCH('İşçilik Parametreleri'!$B$26,{"Manuel","Robot","HTD","Lazer"},0))+T162*INDEX('İşçilik Parametreleri'!$F$16:$I$20,4,MATCH('İşçilik Parametreleri'!$B$26,{"Manuel","Robot","HTD","Lazer"},0))+U162*INDEX('İşçilik Parametreleri'!$F$16:$I$20,5,MATCH('İşçilik Parametreleri'!$B$26,{"Manuel","Robot","HTD","Lazer"},0))),SUM(Q162:U162)*INDEX('İşçilik Parametreleri'!$F$16:$I$20,MATCH(VALUE('İşçilik Parametreleri'!$B$27),'İşçilik Parametreleri'!$E$16:$E$20,0),MATCH('İşçilik Parametreleri'!$B$26,{"Manuel","Robot","HTD","Lazer"},0)))*'İşçilik Parametreleri'!$B$28/1000+O162*IF(OR('İşçilik Parametreleri'!$B$26="Robot",'İşçilik Parametreleri'!$B$26="HTD"),'İşçilik Parametreleri'!$B$30,'İşçilik Parametreleri'!$B$29))*'İşçilik Parametreleri'!$B$31</f>
        <v>4.8</v>
      </c>
      <c r="Z162" s="74">
        <f t="shared" si="17"/>
        <v>15.5535</v>
      </c>
      <c r="AA162" s="75" t="s">
        <v>124</v>
      </c>
      <c r="AB162" s="76"/>
      <c r="AC162" s="77">
        <f>IF(AA162="Kataforez",N(AB162),IF(AA162="Yaş boya",'İşçilik Parametreleri'!$B$6/MAX(1,ROUND(IF(ISNUMBER(AB162),AB162,'İşçilik Parametreleri'!$B$7),0)),0))</f>
        <v>0</v>
      </c>
      <c r="AD162" s="78">
        <f>W162/100*'İşçilik Parametreleri'!$B$9+X162/100*'İşçilik Parametreleri'!$B$17+Y162/100*'İşçilik Parametreleri'!$B$25</f>
        <v>5.184499999999999</v>
      </c>
      <c r="AE162" s="78">
        <f t="shared" si="18"/>
        <v>5.184499999999999</v>
      </c>
      <c r="AF162" s="75">
        <v>16</v>
      </c>
      <c r="AG162" s="84">
        <f>AD162*AF162+IF(AA162="Kataforez",N(AB162)*AF162,IF(AA162="Yaş boya",ROUNDUP(AF162/MAX(1,ROUND(IF(ISNUMBER(AB162),AB162,'İşçilik Parametreleri'!$B$7),0)),0)*'İşçilik Parametreleri'!$B$6,0))</f>
        <v>82.951999999999984</v>
      </c>
      <c r="AH162" s="70">
        <f t="shared" si="19"/>
        <v>4.1475999999999997</v>
      </c>
    </row>
    <row r="163" spans="1:34" ht="15" customHeight="1" x14ac:dyDescent="0.25">
      <c r="A163" s="82" t="s">
        <v>599</v>
      </c>
      <c r="B163" s="80" t="s">
        <v>23</v>
      </c>
      <c r="C163" s="81" t="s">
        <v>323</v>
      </c>
      <c r="D163" s="68" t="s">
        <v>139</v>
      </c>
      <c r="E163" s="68" t="s">
        <v>130</v>
      </c>
      <c r="F163" s="68">
        <v>1</v>
      </c>
      <c r="G163" s="68">
        <v>3</v>
      </c>
      <c r="H163" s="68">
        <v>5</v>
      </c>
      <c r="I163" s="68">
        <v>5</v>
      </c>
      <c r="J163" s="68">
        <v>1</v>
      </c>
      <c r="K163" s="70">
        <v>3.722</v>
      </c>
      <c r="L163" s="70">
        <v>3.7210000000000001</v>
      </c>
      <c r="M163" s="71">
        <f t="shared" si="16"/>
        <v>-2.6867275658245296E-4</v>
      </c>
      <c r="N163" s="68">
        <v>8</v>
      </c>
      <c r="O163" s="68">
        <v>8</v>
      </c>
      <c r="P163" s="68">
        <v>0</v>
      </c>
      <c r="Q163" s="72">
        <v>720</v>
      </c>
      <c r="R163" s="72">
        <v>0</v>
      </c>
      <c r="S163" s="72">
        <v>0</v>
      </c>
      <c r="T163" s="72">
        <v>0</v>
      </c>
      <c r="U163" s="72">
        <v>0</v>
      </c>
      <c r="V163" s="73">
        <f>SUM(Q163:U163)*'İşçilik Parametreleri'!$B$28/1000</f>
        <v>0.72</v>
      </c>
      <c r="W163" s="70">
        <f>SUMIF('Büküm Parçaları'!$A$2:$A$213,A163,'Büküm Parçaları'!$I$2:$I$213)</f>
        <v>5.4049999999999994</v>
      </c>
      <c r="X163" s="70">
        <f>(I163*'İşçilik Parametreleri'!$B$18+IF(L163&gt;'İşçilik Parametreleri'!$B$21,'İşçilik Parametreleri'!$B$20,'İşçilik Parametreleri'!$B$19)+N163*'İşçilik Parametreleri'!$B$22)*'İşçilik Parametreleri'!$B$23</f>
        <v>20.412499999999998</v>
      </c>
      <c r="Y163" s="70">
        <f>(IF('İşçilik Parametreleri'!$B$27="Resme göre",(Q163*INDEX('İşçilik Parametreleri'!$F$16:$I$20,1,MATCH('İşçilik Parametreleri'!$B$26,{"Manuel","Robot","HTD","Lazer"},0))+R163*INDEX('İşçilik Parametreleri'!$F$16:$I$20,2,MATCH('İşçilik Parametreleri'!$B$26,{"Manuel","Robot","HTD","Lazer"},0))+S163*INDEX('İşçilik Parametreleri'!$F$16:$I$20,3,MATCH('İşçilik Parametreleri'!$B$26,{"Manuel","Robot","HTD","Lazer"},0))+T163*INDEX('İşçilik Parametreleri'!$F$16:$I$20,4,MATCH('İşçilik Parametreleri'!$B$26,{"Manuel","Robot","HTD","Lazer"},0))+U163*INDEX('İşçilik Parametreleri'!$F$16:$I$20,5,MATCH('İşçilik Parametreleri'!$B$26,{"Manuel","Robot","HTD","Lazer"},0))),SUM(Q163:U163)*INDEX('İşçilik Parametreleri'!$F$16:$I$20,MATCH(VALUE('İşçilik Parametreleri'!$B$27),'İşçilik Parametreleri'!$E$16:$E$20,0),MATCH('İşçilik Parametreleri'!$B$26,{"Manuel","Robot","HTD","Lazer"},0)))*'İşçilik Parametreleri'!$B$28/1000+O163*IF(OR('İşçilik Parametreleri'!$B$26="Robot",'İşçilik Parametreleri'!$B$26="HTD"),'İşçilik Parametreleri'!$B$30,'İşçilik Parametreleri'!$B$29))*'İşçilik Parametreleri'!$B$31</f>
        <v>13.04</v>
      </c>
      <c r="Z163" s="74">
        <f t="shared" si="17"/>
        <v>23.314499999999995</v>
      </c>
      <c r="AA163" s="75" t="s">
        <v>124</v>
      </c>
      <c r="AB163" s="76"/>
      <c r="AC163" s="77">
        <f>IF(AA163="Kataforez",N(AB163),IF(AA163="Yaş boya",'İşçilik Parametreleri'!$B$6/MAX(1,ROUND(IF(ISNUMBER(AB163),AB163,'İşçilik Parametreleri'!$B$7),0)),0))</f>
        <v>0</v>
      </c>
      <c r="AD163" s="78">
        <f>W163/100*'İşçilik Parametreleri'!$B$9+X163/100*'İşçilik Parametreleri'!$B$17+Y163/100*'İşçilik Parametreleri'!$B$25</f>
        <v>7.7714999999999987</v>
      </c>
      <c r="AE163" s="78">
        <f t="shared" si="18"/>
        <v>7.7714999999999987</v>
      </c>
      <c r="AF163" s="75">
        <v>10</v>
      </c>
      <c r="AG163" s="84">
        <f>AD163*AF163+IF(AA163="Kataforez",N(AB163)*AF163,IF(AA163="Yaş boya",ROUNDUP(AF163/MAX(1,ROUND(IF(ISNUMBER(AB163),AB163,'İşçilik Parametreleri'!$B$7),0)),0)*'İşçilik Parametreleri'!$B$6,0))</f>
        <v>77.714999999999989</v>
      </c>
      <c r="AH163" s="70">
        <f t="shared" si="19"/>
        <v>3.8857499999999994</v>
      </c>
    </row>
    <row r="164" spans="1:34" ht="15" customHeight="1" x14ac:dyDescent="0.25">
      <c r="A164" s="82" t="s">
        <v>600</v>
      </c>
      <c r="B164" s="80" t="s">
        <v>23</v>
      </c>
      <c r="C164" s="81" t="s">
        <v>324</v>
      </c>
      <c r="D164" s="68" t="s">
        <v>99</v>
      </c>
      <c r="E164" s="68" t="s">
        <v>130</v>
      </c>
      <c r="F164" s="68">
        <v>1</v>
      </c>
      <c r="G164" s="68">
        <v>3</v>
      </c>
      <c r="H164" s="68">
        <v>4</v>
      </c>
      <c r="I164" s="68">
        <v>4</v>
      </c>
      <c r="J164" s="68">
        <v>2</v>
      </c>
      <c r="K164" s="70">
        <v>0.63200000000000001</v>
      </c>
      <c r="L164" s="70">
        <v>0.63200000000000001</v>
      </c>
      <c r="M164" s="71">
        <f t="shared" si="16"/>
        <v>0</v>
      </c>
      <c r="N164" s="68">
        <v>3</v>
      </c>
      <c r="O164" s="68">
        <v>3</v>
      </c>
      <c r="P164" s="68">
        <v>0</v>
      </c>
      <c r="Q164" s="72">
        <v>150</v>
      </c>
      <c r="R164" s="72">
        <v>0</v>
      </c>
      <c r="S164" s="72">
        <v>0</v>
      </c>
      <c r="T164" s="72">
        <v>0</v>
      </c>
      <c r="U164" s="72">
        <v>0</v>
      </c>
      <c r="V164" s="73">
        <f>SUM(Q164:U164)*'İşçilik Parametreleri'!$B$28/1000</f>
        <v>0.15</v>
      </c>
      <c r="W164" s="70">
        <f>SUMIF('Büküm Parçaları'!$A$2:$A$213,A164,'Büküm Parçaları'!$I$2:$I$213)</f>
        <v>6.5549999999999997</v>
      </c>
      <c r="X164" s="70">
        <f>(I164*'İşçilik Parametreleri'!$B$18+IF(L164&gt;'İşçilik Parametreleri'!$B$21,'İşçilik Parametreleri'!$B$20,'İşçilik Parametreleri'!$B$19)+N164*'İşçilik Parametreleri'!$B$22)*'İşçilik Parametreleri'!$B$23</f>
        <v>12.9125</v>
      </c>
      <c r="Y164" s="70">
        <f>(IF('İşçilik Parametreleri'!$B$27="Resme göre",(Q164*INDEX('İşçilik Parametreleri'!$F$16:$I$20,1,MATCH('İşçilik Parametreleri'!$B$26,{"Manuel","Robot","HTD","Lazer"},0))+R164*INDEX('İşçilik Parametreleri'!$F$16:$I$20,2,MATCH('İşçilik Parametreleri'!$B$26,{"Manuel","Robot","HTD","Lazer"},0))+S164*INDEX('İşçilik Parametreleri'!$F$16:$I$20,3,MATCH('İşçilik Parametreleri'!$B$26,{"Manuel","Robot","HTD","Lazer"},0))+T164*INDEX('İşçilik Parametreleri'!$F$16:$I$20,4,MATCH('İşçilik Parametreleri'!$B$26,{"Manuel","Robot","HTD","Lazer"},0))+U164*INDEX('İşçilik Parametreleri'!$F$16:$I$20,5,MATCH('İşçilik Parametreleri'!$B$26,{"Manuel","Robot","HTD","Lazer"},0))),SUM(Q164:U164)*INDEX('İşçilik Parametreleri'!$F$16:$I$20,MATCH(VALUE('İşçilik Parametreleri'!$B$27),'İşçilik Parametreleri'!$E$16:$E$20,0),MATCH('İşçilik Parametreleri'!$B$26,{"Manuel","Robot","HTD","Lazer"},0)))*'İşçilik Parametreleri'!$B$28/1000+O164*IF(OR('İşçilik Parametreleri'!$B$26="Robot",'İşçilik Parametreleri'!$B$26="HTD"),'İşçilik Parametreleri'!$B$30,'İşçilik Parametreleri'!$B$29))*'İşçilik Parametreleri'!$B$31</f>
        <v>4.05</v>
      </c>
      <c r="Z164" s="74">
        <f t="shared" si="17"/>
        <v>14.1105</v>
      </c>
      <c r="AA164" s="75" t="s">
        <v>124</v>
      </c>
      <c r="AB164" s="76"/>
      <c r="AC164" s="77">
        <f>IF(AA164="Kataforez",N(AB164),IF(AA164="Yaş boya",'İşçilik Parametreleri'!$B$6/MAX(1,ROUND(IF(ISNUMBER(AB164),AB164,'İşçilik Parametreleri'!$B$7),0)),0))</f>
        <v>0</v>
      </c>
      <c r="AD164" s="78">
        <f>W164/100*'İşçilik Parametreleri'!$B$9+X164/100*'İşçilik Parametreleri'!$B$17+Y164/100*'İşçilik Parametreleri'!$B$25</f>
        <v>4.7035</v>
      </c>
      <c r="AE164" s="78">
        <f t="shared" si="18"/>
        <v>4.7035</v>
      </c>
      <c r="AF164" s="75">
        <v>16</v>
      </c>
      <c r="AG164" s="84">
        <f>AD164*AF164+IF(AA164="Kataforez",N(AB164)*AF164,IF(AA164="Yaş boya",ROUNDUP(AF164/MAX(1,ROUND(IF(ISNUMBER(AB164),AB164,'İşçilik Parametreleri'!$B$7),0)),0)*'İşçilik Parametreleri'!$B$6,0))</f>
        <v>75.256</v>
      </c>
      <c r="AH164" s="70">
        <f t="shared" si="19"/>
        <v>3.7628000000000004</v>
      </c>
    </row>
    <row r="165" spans="1:34" ht="15" customHeight="1" x14ac:dyDescent="0.25">
      <c r="A165" s="82" t="s">
        <v>601</v>
      </c>
      <c r="B165" s="80" t="s">
        <v>23</v>
      </c>
      <c r="C165" s="81" t="s">
        <v>326</v>
      </c>
      <c r="D165" s="68" t="s">
        <v>93</v>
      </c>
      <c r="E165" s="68" t="s">
        <v>94</v>
      </c>
      <c r="F165" s="68">
        <v>1</v>
      </c>
      <c r="G165" s="68">
        <v>2</v>
      </c>
      <c r="H165" s="68">
        <v>2</v>
      </c>
      <c r="I165" s="68">
        <v>2</v>
      </c>
      <c r="J165" s="68">
        <v>4</v>
      </c>
      <c r="K165" s="70">
        <v>0.157</v>
      </c>
      <c r="L165" s="70">
        <v>0.157</v>
      </c>
      <c r="M165" s="71">
        <f t="shared" si="16"/>
        <v>0</v>
      </c>
      <c r="N165" s="68">
        <v>2</v>
      </c>
      <c r="O165" s="68">
        <v>2</v>
      </c>
      <c r="P165" s="68">
        <v>0</v>
      </c>
      <c r="Q165" s="72">
        <v>80</v>
      </c>
      <c r="R165" s="72">
        <v>0</v>
      </c>
      <c r="S165" s="72">
        <v>0</v>
      </c>
      <c r="T165" s="72">
        <v>0</v>
      </c>
      <c r="U165" s="72">
        <v>0</v>
      </c>
      <c r="V165" s="73">
        <f>SUM(Q165:U165)*'İşçilik Parametreleri'!$B$28/1000</f>
        <v>0.08</v>
      </c>
      <c r="W165" s="70">
        <f>SUMIF('Büküm Parçaları'!$A$2:$A$213,A165,'Büküm Parçaları'!$I$2:$I$213)</f>
        <v>8.8549999999999986</v>
      </c>
      <c r="X165" s="70">
        <f>(I165*'İşçilik Parametreleri'!$B$18+IF(L165&gt;'İşçilik Parametreleri'!$B$21,'İşçilik Parametreleri'!$B$20,'İşçilik Parametreleri'!$B$19)+N165*'İşçilik Parametreleri'!$B$22)*'İşçilik Parametreleri'!$B$23</f>
        <v>9.1624999999999996</v>
      </c>
      <c r="Y165" s="70">
        <f>(IF('İşçilik Parametreleri'!$B$27="Resme göre",(Q165*INDEX('İşçilik Parametreleri'!$F$16:$I$20,1,MATCH('İşçilik Parametreleri'!$B$26,{"Manuel","Robot","HTD","Lazer"},0))+R165*INDEX('İşçilik Parametreleri'!$F$16:$I$20,2,MATCH('İşçilik Parametreleri'!$B$26,{"Manuel","Robot","HTD","Lazer"},0))+S165*INDEX('İşçilik Parametreleri'!$F$16:$I$20,3,MATCH('İşçilik Parametreleri'!$B$26,{"Manuel","Robot","HTD","Lazer"},0))+T165*INDEX('İşçilik Parametreleri'!$F$16:$I$20,4,MATCH('İşçilik Parametreleri'!$B$26,{"Manuel","Robot","HTD","Lazer"},0))+U165*INDEX('İşçilik Parametreleri'!$F$16:$I$20,5,MATCH('İşçilik Parametreleri'!$B$26,{"Manuel","Robot","HTD","Lazer"},0))),SUM(Q165:U165)*INDEX('İşçilik Parametreleri'!$F$16:$I$20,MATCH(VALUE('İşçilik Parametreleri'!$B$27),'İşçilik Parametreleri'!$E$16:$E$20,0),MATCH('İşçilik Parametreleri'!$B$26,{"Manuel","Robot","HTD","Lazer"},0)))*'İşçilik Parametreleri'!$B$28/1000+O165*IF(OR('İşçilik Parametreleri'!$B$26="Robot",'İşçilik Parametreleri'!$B$26="HTD"),'İşçilik Parametreleri'!$B$30,'İşçilik Parametreleri'!$B$29))*'İşçilik Parametreleri'!$B$31</f>
        <v>2.56</v>
      </c>
      <c r="Z165" s="74">
        <f t="shared" si="17"/>
        <v>12.346499999999997</v>
      </c>
      <c r="AA165" s="75" t="s">
        <v>94</v>
      </c>
      <c r="AB165" s="76"/>
      <c r="AC165" s="77">
        <f>IF(AA165="Kataforez",N(AB165),IF(AA165="Yaş boya",'İşçilik Parametreleri'!$B$6/MAX(1,ROUND(IF(ISNUMBER(AB165),AB165,'İşçilik Parametreleri'!$B$7),0)),0))</f>
        <v>0</v>
      </c>
      <c r="AD165" s="78">
        <f>W165/100*'İşçilik Parametreleri'!$B$9+X165/100*'İşçilik Parametreleri'!$B$17+Y165/100*'İşçilik Parametreleri'!$B$25</f>
        <v>4.1154999999999999</v>
      </c>
      <c r="AE165" s="78">
        <f t="shared" si="18"/>
        <v>4.1154999999999999</v>
      </c>
      <c r="AF165" s="75">
        <v>18</v>
      </c>
      <c r="AG165" s="84">
        <f>AD165*AF165+IF(AA165="Kataforez",N(AB165)*AF165,IF(AA165="Yaş boya",ROUNDUP(AF165/MAX(1,ROUND(IF(ISNUMBER(AB165),AB165,'İşçilik Parametreleri'!$B$7),0)),0)*'İşçilik Parametreleri'!$B$6,0))</f>
        <v>74.078999999999994</v>
      </c>
      <c r="AH165" s="70">
        <f t="shared" si="19"/>
        <v>3.7039499999999994</v>
      </c>
    </row>
    <row r="166" spans="1:34" ht="15" customHeight="1" x14ac:dyDescent="0.25">
      <c r="A166" s="82" t="s">
        <v>602</v>
      </c>
      <c r="B166" s="80" t="s">
        <v>23</v>
      </c>
      <c r="C166" s="81" t="s">
        <v>327</v>
      </c>
      <c r="D166" s="68" t="s">
        <v>107</v>
      </c>
      <c r="E166" s="68" t="s">
        <v>130</v>
      </c>
      <c r="F166" s="68">
        <v>1</v>
      </c>
      <c r="G166" s="68">
        <v>3</v>
      </c>
      <c r="H166" s="68">
        <v>6</v>
      </c>
      <c r="I166" s="68">
        <v>6</v>
      </c>
      <c r="J166" s="68">
        <v>2</v>
      </c>
      <c r="K166" s="70">
        <v>5.2389999999999999</v>
      </c>
      <c r="L166" s="70">
        <v>5.24</v>
      </c>
      <c r="M166" s="71">
        <f t="shared" ref="M166:M197" si="20">IF(ISNUMBER(K166),(L166-K166)/K166,"")</f>
        <v>1.9087612139727695E-4</v>
      </c>
      <c r="N166" s="68">
        <v>6</v>
      </c>
      <c r="O166" s="68">
        <v>6</v>
      </c>
      <c r="P166" s="68">
        <v>0</v>
      </c>
      <c r="Q166" s="72">
        <v>702</v>
      </c>
      <c r="R166" s="72">
        <v>0</v>
      </c>
      <c r="S166" s="72">
        <v>0</v>
      </c>
      <c r="T166" s="72">
        <v>0</v>
      </c>
      <c r="U166" s="72">
        <v>0</v>
      </c>
      <c r="V166" s="73">
        <f>SUM(Q166:U166)*'İşçilik Parametreleri'!$B$28/1000</f>
        <v>0.70199999999999996</v>
      </c>
      <c r="W166" s="70">
        <f>SUMIF('Büküm Parçaları'!$A$2:$A$213,A166,'Büküm Parçaları'!$I$2:$I$213)</f>
        <v>6.5549999999999997</v>
      </c>
      <c r="X166" s="70">
        <f>(I166*'İşçilik Parametreleri'!$B$18+IF(L166&gt;'İşçilik Parametreleri'!$B$21,'İşçilik Parametreleri'!$B$20,'İşçilik Parametreleri'!$B$19)+N166*'İşçilik Parametreleri'!$B$22)*'İşçilik Parametreleri'!$B$23</f>
        <v>19.162500000000001</v>
      </c>
      <c r="Y166" s="70">
        <f>(IF('İşçilik Parametreleri'!$B$27="Resme göre",(Q166*INDEX('İşçilik Parametreleri'!$F$16:$I$20,1,MATCH('İşçilik Parametreleri'!$B$26,{"Manuel","Robot","HTD","Lazer"},0))+R166*INDEX('İşçilik Parametreleri'!$F$16:$I$20,2,MATCH('İşçilik Parametreleri'!$B$26,{"Manuel","Robot","HTD","Lazer"},0))+S166*INDEX('İşçilik Parametreleri'!$F$16:$I$20,3,MATCH('İşçilik Parametreleri'!$B$26,{"Manuel","Robot","HTD","Lazer"},0))+T166*INDEX('İşçilik Parametreleri'!$F$16:$I$20,4,MATCH('İşçilik Parametreleri'!$B$26,{"Manuel","Robot","HTD","Lazer"},0))+U166*INDEX('İşçilik Parametreleri'!$F$16:$I$20,5,MATCH('İşçilik Parametreleri'!$B$26,{"Manuel","Robot","HTD","Lazer"},0))),SUM(Q166:U166)*INDEX('İşçilik Parametreleri'!$F$16:$I$20,MATCH(VALUE('İşçilik Parametreleri'!$B$27),'İşçilik Parametreleri'!$E$16:$E$20,0),MATCH('İşçilik Parametreleri'!$B$26,{"Manuel","Robot","HTD","Lazer"},0)))*'İşçilik Parametreleri'!$B$28/1000+O166*IF(OR('İşçilik Parametreleri'!$B$26="Robot",'İşçilik Parametreleri'!$B$26="HTD"),'İşçilik Parametreleri'!$B$30,'İşçilik Parametreleri'!$B$29))*'İşçilik Parametreleri'!$B$31</f>
        <v>10.914</v>
      </c>
      <c r="Z166" s="74">
        <f t="shared" ref="Z166:Z197" si="21">(W166+X166+Y166)*0.6</f>
        <v>21.978899999999999</v>
      </c>
      <c r="AA166" s="75" t="s">
        <v>124</v>
      </c>
      <c r="AB166" s="76"/>
      <c r="AC166" s="77">
        <f>IF(AA166="Kataforez",N(AB166),IF(AA166="Yaş boya",'İşçilik Parametreleri'!$B$6/MAX(1,ROUND(IF(ISNUMBER(AB166),AB166,'İşçilik Parametreleri'!$B$7),0)),0))</f>
        <v>0</v>
      </c>
      <c r="AD166" s="78">
        <f>W166/100*'İşçilik Parametreleri'!$B$9+X166/100*'İşçilik Parametreleri'!$B$17+Y166/100*'İşçilik Parametreleri'!$B$25</f>
        <v>7.3262999999999998</v>
      </c>
      <c r="AE166" s="78">
        <f t="shared" ref="AE166:AE197" si="22">AD166+AC166</f>
        <v>7.3262999999999998</v>
      </c>
      <c r="AF166" s="75">
        <v>10</v>
      </c>
      <c r="AG166" s="84">
        <f>AD166*AF166+IF(AA166="Kataforez",N(AB166)*AF166,IF(AA166="Yaş boya",ROUNDUP(AF166/MAX(1,ROUND(IF(ISNUMBER(AB166),AB166,'İşçilik Parametreleri'!$B$7),0)),0)*'İşçilik Parametreleri'!$B$6,0))</f>
        <v>73.263000000000005</v>
      </c>
      <c r="AH166" s="70">
        <f t="shared" ref="AH166:AH200" si="23">(W166+X166+Y166)*AF166/100</f>
        <v>3.6631500000000004</v>
      </c>
    </row>
    <row r="167" spans="1:34" ht="15" customHeight="1" x14ac:dyDescent="0.25">
      <c r="A167" s="82" t="s">
        <v>603</v>
      </c>
      <c r="B167" s="68" t="s">
        <v>439</v>
      </c>
      <c r="C167" s="69" t="s">
        <v>329</v>
      </c>
      <c r="D167" s="68" t="s">
        <v>93</v>
      </c>
      <c r="E167" s="68" t="s">
        <v>130</v>
      </c>
      <c r="F167" s="68">
        <v>1</v>
      </c>
      <c r="G167" s="68">
        <v>3</v>
      </c>
      <c r="H167" s="68">
        <v>4</v>
      </c>
      <c r="I167" s="68">
        <v>4</v>
      </c>
      <c r="J167" s="68">
        <v>0</v>
      </c>
      <c r="K167" s="70">
        <v>8.3469999999999995</v>
      </c>
      <c r="L167" s="70">
        <v>8.2029999999999994</v>
      </c>
      <c r="M167" s="71">
        <f t="shared" si="20"/>
        <v>-1.7251707200191702E-2</v>
      </c>
      <c r="N167" s="68">
        <v>5</v>
      </c>
      <c r="O167" s="68">
        <v>5</v>
      </c>
      <c r="P167" s="68">
        <v>0</v>
      </c>
      <c r="Q167" s="72">
        <v>0</v>
      </c>
      <c r="R167" s="72">
        <v>0</v>
      </c>
      <c r="S167" s="72">
        <v>0</v>
      </c>
      <c r="T167" s="72">
        <v>0</v>
      </c>
      <c r="U167" s="72">
        <v>520</v>
      </c>
      <c r="V167" s="73">
        <f>SUM(Q167:U167)*'İşçilik Parametreleri'!$B$28/1000</f>
        <v>0.52</v>
      </c>
      <c r="W167" s="70">
        <f>SUMIF('Büküm Parçaları'!$A$2:$A$213,A167,'Büküm Parçaları'!$I$2:$I$213)</f>
        <v>0</v>
      </c>
      <c r="X167" s="70">
        <f>(I167*'İşçilik Parametreleri'!$B$18+IF(L167&gt;'İşçilik Parametreleri'!$B$21,'İşçilik Parametreleri'!$B$20,'İşçilik Parametreleri'!$B$19)+N167*'İşçilik Parametreleri'!$B$22)*'İşçilik Parametreleri'!$B$23</f>
        <v>15.4125</v>
      </c>
      <c r="Y167" s="70">
        <f>(IF('İşçilik Parametreleri'!$B$27="Resme göre",(Q167*INDEX('İşçilik Parametreleri'!$F$16:$I$20,1,MATCH('İşçilik Parametreleri'!$B$26,{"Manuel","Robot","HTD","Lazer"},0))+R167*INDEX('İşçilik Parametreleri'!$F$16:$I$20,2,MATCH('İşçilik Parametreleri'!$B$26,{"Manuel","Robot","HTD","Lazer"},0))+S167*INDEX('İşçilik Parametreleri'!$F$16:$I$20,3,MATCH('İşçilik Parametreleri'!$B$26,{"Manuel","Robot","HTD","Lazer"},0))+T167*INDEX('İşçilik Parametreleri'!$F$16:$I$20,4,MATCH('İşçilik Parametreleri'!$B$26,{"Manuel","Robot","HTD","Lazer"},0))+U167*INDEX('İşçilik Parametreleri'!$F$16:$I$20,5,MATCH('İşçilik Parametreleri'!$B$26,{"Manuel","Robot","HTD","Lazer"},0))),SUM(Q167:U167)*INDEX('İşçilik Parametreleri'!$F$16:$I$20,MATCH(VALUE('İşçilik Parametreleri'!$B$27),'İşçilik Parametreleri'!$E$16:$E$20,0),MATCH('İşçilik Parametreleri'!$B$26,{"Manuel","Robot","HTD","Lazer"},0)))*'İşçilik Parametreleri'!$B$28/1000+O167*IF(OR('İşçilik Parametreleri'!$B$26="Robot",'İşçilik Parametreleri'!$B$26="HTD"),'İşçilik Parametreleri'!$B$30,'İşçilik Parametreleri'!$B$29))*'İşçilik Parametreleri'!$B$31</f>
        <v>21.12</v>
      </c>
      <c r="Z167" s="74">
        <f t="shared" si="21"/>
        <v>21.919499999999999</v>
      </c>
      <c r="AA167" s="75" t="s">
        <v>124</v>
      </c>
      <c r="AB167" s="76"/>
      <c r="AC167" s="77">
        <f>IF(AA167="Kataforez",N(AB167),IF(AA167="Yaş boya",'İşçilik Parametreleri'!$B$6/MAX(1,ROUND(IF(ISNUMBER(AB167),AB167,'İşçilik Parametreleri'!$B$7),0)),0))</f>
        <v>0</v>
      </c>
      <c r="AD167" s="78">
        <f>W167/100*'İşçilik Parametreleri'!$B$9+X167/100*'İşçilik Parametreleri'!$B$17+Y167/100*'İşçilik Parametreleri'!$B$25</f>
        <v>7.3064999999999998</v>
      </c>
      <c r="AE167" s="78">
        <f t="shared" si="22"/>
        <v>7.3064999999999998</v>
      </c>
      <c r="AF167" s="75">
        <v>10</v>
      </c>
      <c r="AG167" s="84">
        <f>AD167*AF167+IF(AA167="Kataforez",N(AB167)*AF167,IF(AA167="Yaş boya",ROUNDUP(AF167/MAX(1,ROUND(IF(ISNUMBER(AB167),AB167,'İşçilik Parametreleri'!$B$7),0)),0)*'İşçilik Parametreleri'!$B$6,0))</f>
        <v>73.064999999999998</v>
      </c>
      <c r="AH167" s="70">
        <f t="shared" si="23"/>
        <v>3.6532499999999999</v>
      </c>
    </row>
    <row r="168" spans="1:34" ht="15" customHeight="1" x14ac:dyDescent="0.25">
      <c r="A168" s="82" t="s">
        <v>604</v>
      </c>
      <c r="B168" s="80" t="s">
        <v>23</v>
      </c>
      <c r="C168" s="81" t="s">
        <v>330</v>
      </c>
      <c r="D168" s="68" t="s">
        <v>139</v>
      </c>
      <c r="E168" s="68" t="s">
        <v>130</v>
      </c>
      <c r="F168" s="68">
        <v>1</v>
      </c>
      <c r="G168" s="68">
        <v>3</v>
      </c>
      <c r="H168" s="68">
        <v>3</v>
      </c>
      <c r="I168" s="68">
        <v>3</v>
      </c>
      <c r="J168" s="68">
        <v>2</v>
      </c>
      <c r="K168" s="70">
        <v>1.575</v>
      </c>
      <c r="L168" s="70">
        <v>1.575</v>
      </c>
      <c r="M168" s="71">
        <f t="shared" si="20"/>
        <v>0</v>
      </c>
      <c r="N168" s="68">
        <v>3</v>
      </c>
      <c r="O168" s="68">
        <v>3</v>
      </c>
      <c r="P168" s="68">
        <v>0</v>
      </c>
      <c r="Q168" s="72">
        <v>150</v>
      </c>
      <c r="R168" s="72">
        <v>0</v>
      </c>
      <c r="S168" s="72">
        <v>0</v>
      </c>
      <c r="T168" s="72">
        <v>0</v>
      </c>
      <c r="U168" s="72">
        <v>0</v>
      </c>
      <c r="V168" s="73">
        <f>SUM(Q168:U168)*'İşçilik Parametreleri'!$B$28/1000</f>
        <v>0.15</v>
      </c>
      <c r="W168" s="70">
        <f>SUMIF('Büküm Parçaları'!$A$2:$A$213,A168,'Büküm Parçaları'!$I$2:$I$213)</f>
        <v>6.5549999999999997</v>
      </c>
      <c r="X168" s="70">
        <f>(I168*'İşçilik Parametreleri'!$B$18+IF(L168&gt;'İşçilik Parametreleri'!$B$21,'İşçilik Parametreleri'!$B$20,'İşçilik Parametreleri'!$B$19)+N168*'İşçilik Parametreleri'!$B$22)*'İşçilik Parametreleri'!$B$23</f>
        <v>11.6625</v>
      </c>
      <c r="Y168" s="70">
        <f>(IF('İşçilik Parametreleri'!$B$27="Resme göre",(Q168*INDEX('İşçilik Parametreleri'!$F$16:$I$20,1,MATCH('İşçilik Parametreleri'!$B$26,{"Manuel","Robot","HTD","Lazer"},0))+R168*INDEX('İşçilik Parametreleri'!$F$16:$I$20,2,MATCH('İşçilik Parametreleri'!$B$26,{"Manuel","Robot","HTD","Lazer"},0))+S168*INDEX('İşçilik Parametreleri'!$F$16:$I$20,3,MATCH('İşçilik Parametreleri'!$B$26,{"Manuel","Robot","HTD","Lazer"},0))+T168*INDEX('İşçilik Parametreleri'!$F$16:$I$20,4,MATCH('İşçilik Parametreleri'!$B$26,{"Manuel","Robot","HTD","Lazer"},0))+U168*INDEX('İşçilik Parametreleri'!$F$16:$I$20,5,MATCH('İşçilik Parametreleri'!$B$26,{"Manuel","Robot","HTD","Lazer"},0))),SUM(Q168:U168)*INDEX('İşçilik Parametreleri'!$F$16:$I$20,MATCH(VALUE('İşçilik Parametreleri'!$B$27),'İşçilik Parametreleri'!$E$16:$E$20,0),MATCH('İşçilik Parametreleri'!$B$26,{"Manuel","Robot","HTD","Lazer"},0)))*'İşçilik Parametreleri'!$B$28/1000+O168*IF(OR('İşçilik Parametreleri'!$B$26="Robot",'İşçilik Parametreleri'!$B$26="HTD"),'İşçilik Parametreleri'!$B$30,'İşçilik Parametreleri'!$B$29))*'İşçilik Parametreleri'!$B$31</f>
        <v>4.05</v>
      </c>
      <c r="Z168" s="74">
        <f t="shared" si="21"/>
        <v>13.3605</v>
      </c>
      <c r="AA168" s="75" t="s">
        <v>124</v>
      </c>
      <c r="AB168" s="76"/>
      <c r="AC168" s="77">
        <f>IF(AA168="Kataforez",N(AB168),IF(AA168="Yaş boya",'İşçilik Parametreleri'!$B$6/MAX(1,ROUND(IF(ISNUMBER(AB168),AB168,'İşçilik Parametreleri'!$B$7),0)),0))</f>
        <v>0</v>
      </c>
      <c r="AD168" s="78">
        <f>W168/100*'İşçilik Parametreleri'!$B$9+X168/100*'İşçilik Parametreleri'!$B$17+Y168/100*'İşçilik Parametreleri'!$B$25</f>
        <v>4.4535</v>
      </c>
      <c r="AE168" s="78">
        <f t="shared" si="22"/>
        <v>4.4535</v>
      </c>
      <c r="AF168" s="75">
        <v>16</v>
      </c>
      <c r="AG168" s="84">
        <f>AD168*AF168+IF(AA168="Kataforez",N(AB168)*AF168,IF(AA168="Yaş boya",ROUNDUP(AF168/MAX(1,ROUND(IF(ISNUMBER(AB168),AB168,'İşçilik Parametreleri'!$B$7),0)),0)*'İşçilik Parametreleri'!$B$6,0))</f>
        <v>71.256</v>
      </c>
      <c r="AH168" s="70">
        <f t="shared" si="23"/>
        <v>3.5628000000000002</v>
      </c>
    </row>
    <row r="169" spans="1:34" ht="15" customHeight="1" x14ac:dyDescent="0.25">
      <c r="A169" s="67" t="s">
        <v>605</v>
      </c>
      <c r="B169" s="68" t="s">
        <v>439</v>
      </c>
      <c r="C169" s="69" t="s">
        <v>331</v>
      </c>
      <c r="D169" s="68" t="s">
        <v>84</v>
      </c>
      <c r="E169" s="68" t="s">
        <v>130</v>
      </c>
      <c r="F169" s="68">
        <v>1</v>
      </c>
      <c r="G169" s="68">
        <v>3</v>
      </c>
      <c r="H169" s="68">
        <v>3</v>
      </c>
      <c r="I169" s="68">
        <v>3</v>
      </c>
      <c r="J169" s="68">
        <v>0</v>
      </c>
      <c r="K169" s="70">
        <v>23.207999999999998</v>
      </c>
      <c r="L169" s="70">
        <v>23.58</v>
      </c>
      <c r="M169" s="71">
        <f t="shared" si="20"/>
        <v>1.6028955532574971E-2</v>
      </c>
      <c r="N169" s="68">
        <v>2</v>
      </c>
      <c r="O169" s="68">
        <v>2</v>
      </c>
      <c r="P169" s="68">
        <v>0</v>
      </c>
      <c r="Q169" s="72">
        <v>0</v>
      </c>
      <c r="R169" s="72">
        <v>0</v>
      </c>
      <c r="S169" s="72">
        <v>0</v>
      </c>
      <c r="T169" s="72">
        <v>0</v>
      </c>
      <c r="U169" s="72">
        <v>644</v>
      </c>
      <c r="V169" s="73">
        <f>SUM(Q169:U169)*'İşçilik Parametreleri'!$B$28/1000</f>
        <v>0.64400000000000002</v>
      </c>
      <c r="W169" s="70">
        <f>SUMIF('Büküm Parçaları'!$A$2:$A$213,A169,'Büküm Parçaları'!$I$2:$I$213)</f>
        <v>0</v>
      </c>
      <c r="X169" s="70">
        <f>(I169*'İşçilik Parametreleri'!$B$18+IF(L169&gt;'İşçilik Parametreleri'!$B$21,'İşçilik Parametreleri'!$B$20,'İşçilik Parametreleri'!$B$19)+N169*'İşçilik Parametreleri'!$B$22)*'İşçilik Parametreleri'!$B$23</f>
        <v>10.4125</v>
      </c>
      <c r="Y169" s="70">
        <f>(IF('İşçilik Parametreleri'!$B$27="Resme göre",(Q169*INDEX('İşçilik Parametreleri'!$F$16:$I$20,1,MATCH('İşçilik Parametreleri'!$B$26,{"Manuel","Robot","HTD","Lazer"},0))+R169*INDEX('İşçilik Parametreleri'!$F$16:$I$20,2,MATCH('İşçilik Parametreleri'!$B$26,{"Manuel","Robot","HTD","Lazer"},0))+S169*INDEX('İşçilik Parametreleri'!$F$16:$I$20,3,MATCH('İşçilik Parametreleri'!$B$26,{"Manuel","Robot","HTD","Lazer"},0))+T169*INDEX('İşçilik Parametreleri'!$F$16:$I$20,4,MATCH('İşçilik Parametreleri'!$B$26,{"Manuel","Robot","HTD","Lazer"},0))+U169*INDEX('İşçilik Parametreleri'!$F$16:$I$20,5,MATCH('İşçilik Parametreleri'!$B$26,{"Manuel","Robot","HTD","Lazer"},0))),SUM(Q169:U169)*INDEX('İşçilik Parametreleri'!$F$16:$I$20,MATCH(VALUE('İşçilik Parametreleri'!$B$27),'İşçilik Parametreleri'!$E$16:$E$20,0),MATCH('İşçilik Parametreleri'!$B$26,{"Manuel","Robot","HTD","Lazer"},0)))*'İşçilik Parametreleri'!$B$28/1000+O169*IF(OR('İşçilik Parametreleri'!$B$26="Robot",'İşçilik Parametreleri'!$B$26="HTD"),'İşçilik Parametreleri'!$B$30,'İşçilik Parametreleri'!$B$29))*'İşçilik Parametreleri'!$B$31</f>
        <v>21.963999999999999</v>
      </c>
      <c r="Z169" s="74">
        <f t="shared" si="21"/>
        <v>19.425899999999999</v>
      </c>
      <c r="AA169" s="75" t="s">
        <v>124</v>
      </c>
      <c r="AB169" s="76"/>
      <c r="AC169" s="77">
        <f>IF(AA169="Kataforez",N(AB169),IF(AA169="Yaş boya",'İşçilik Parametreleri'!$B$6/MAX(1,ROUND(IF(ISNUMBER(AB169),AB169,'İşçilik Parametreleri'!$B$7),0)),0))</f>
        <v>0</v>
      </c>
      <c r="AD169" s="78">
        <f>W169/100*'İşçilik Parametreleri'!$B$9+X169/100*'İşçilik Parametreleri'!$B$17+Y169/100*'İşçilik Parametreleri'!$B$25</f>
        <v>6.4752999999999989</v>
      </c>
      <c r="AE169" s="78">
        <f t="shared" si="22"/>
        <v>6.4752999999999989</v>
      </c>
      <c r="AF169" s="75">
        <v>10</v>
      </c>
      <c r="AG169" s="84">
        <f>AD169*AF169+IF(AA169="Kataforez",N(AB169)*AF169,IF(AA169="Yaş boya",ROUNDUP(AF169/MAX(1,ROUND(IF(ISNUMBER(AB169),AB169,'İşçilik Parametreleri'!$B$7),0)),0)*'İşçilik Parametreleri'!$B$6,0))</f>
        <v>64.752999999999986</v>
      </c>
      <c r="AH169" s="70">
        <f t="shared" si="23"/>
        <v>3.2376499999999999</v>
      </c>
    </row>
    <row r="170" spans="1:34" ht="15" customHeight="1" x14ac:dyDescent="0.25">
      <c r="A170" s="67" t="s">
        <v>606</v>
      </c>
      <c r="B170" s="68" t="s">
        <v>439</v>
      </c>
      <c r="C170" s="69" t="s">
        <v>332</v>
      </c>
      <c r="D170" s="68" t="s">
        <v>251</v>
      </c>
      <c r="E170" s="68" t="s">
        <v>130</v>
      </c>
      <c r="F170" s="68">
        <v>1</v>
      </c>
      <c r="G170" s="68">
        <v>2</v>
      </c>
      <c r="H170" s="68">
        <v>3</v>
      </c>
      <c r="I170" s="68">
        <v>3</v>
      </c>
      <c r="J170" s="68">
        <v>0</v>
      </c>
      <c r="K170" s="70">
        <v>23.207999999999998</v>
      </c>
      <c r="L170" s="70">
        <v>23.116</v>
      </c>
      <c r="M170" s="71">
        <f t="shared" si="20"/>
        <v>-3.964150293002359E-3</v>
      </c>
      <c r="N170" s="68">
        <v>2</v>
      </c>
      <c r="O170" s="68">
        <v>2</v>
      </c>
      <c r="P170" s="68">
        <v>0</v>
      </c>
      <c r="Q170" s="72">
        <v>0</v>
      </c>
      <c r="R170" s="72">
        <v>0</v>
      </c>
      <c r="S170" s="72">
        <v>0</v>
      </c>
      <c r="T170" s="72">
        <v>0</v>
      </c>
      <c r="U170" s="72">
        <v>644</v>
      </c>
      <c r="V170" s="73">
        <f>SUM(Q170:U170)*'İşçilik Parametreleri'!$B$28/1000</f>
        <v>0.64400000000000002</v>
      </c>
      <c r="W170" s="70">
        <f>SUMIF('Büküm Parçaları'!$A$2:$A$213,A170,'Büküm Parçaları'!$I$2:$I$213)</f>
        <v>0</v>
      </c>
      <c r="X170" s="70">
        <f>(I170*'İşçilik Parametreleri'!$B$18+IF(L170&gt;'İşçilik Parametreleri'!$B$21,'İşçilik Parametreleri'!$B$20,'İşçilik Parametreleri'!$B$19)+N170*'İşçilik Parametreleri'!$B$22)*'İşçilik Parametreleri'!$B$23</f>
        <v>10.4125</v>
      </c>
      <c r="Y170" s="70">
        <f>(IF('İşçilik Parametreleri'!$B$27="Resme göre",(Q170*INDEX('İşçilik Parametreleri'!$F$16:$I$20,1,MATCH('İşçilik Parametreleri'!$B$26,{"Manuel","Robot","HTD","Lazer"},0))+R170*INDEX('İşçilik Parametreleri'!$F$16:$I$20,2,MATCH('İşçilik Parametreleri'!$B$26,{"Manuel","Robot","HTD","Lazer"},0))+S170*INDEX('İşçilik Parametreleri'!$F$16:$I$20,3,MATCH('İşçilik Parametreleri'!$B$26,{"Manuel","Robot","HTD","Lazer"},0))+T170*INDEX('İşçilik Parametreleri'!$F$16:$I$20,4,MATCH('İşçilik Parametreleri'!$B$26,{"Manuel","Robot","HTD","Lazer"},0))+U170*INDEX('İşçilik Parametreleri'!$F$16:$I$20,5,MATCH('İşçilik Parametreleri'!$B$26,{"Manuel","Robot","HTD","Lazer"},0))),SUM(Q170:U170)*INDEX('İşçilik Parametreleri'!$F$16:$I$20,MATCH(VALUE('İşçilik Parametreleri'!$B$27),'İşçilik Parametreleri'!$E$16:$E$20,0),MATCH('İşçilik Parametreleri'!$B$26,{"Manuel","Robot","HTD","Lazer"},0)))*'İşçilik Parametreleri'!$B$28/1000+O170*IF(OR('İşçilik Parametreleri'!$B$26="Robot",'İşçilik Parametreleri'!$B$26="HTD"),'İşçilik Parametreleri'!$B$30,'İşçilik Parametreleri'!$B$29))*'İşçilik Parametreleri'!$B$31</f>
        <v>21.963999999999999</v>
      </c>
      <c r="Z170" s="74">
        <f t="shared" si="21"/>
        <v>19.425899999999999</v>
      </c>
      <c r="AA170" s="75" t="s">
        <v>124</v>
      </c>
      <c r="AB170" s="76"/>
      <c r="AC170" s="77">
        <f>IF(AA170="Kataforez",N(AB170),IF(AA170="Yaş boya",'İşçilik Parametreleri'!$B$6/MAX(1,ROUND(IF(ISNUMBER(AB170),AB170,'İşçilik Parametreleri'!$B$7),0)),0))</f>
        <v>0</v>
      </c>
      <c r="AD170" s="78">
        <f>W170/100*'İşçilik Parametreleri'!$B$9+X170/100*'İşçilik Parametreleri'!$B$17+Y170/100*'İşçilik Parametreleri'!$B$25</f>
        <v>6.4752999999999989</v>
      </c>
      <c r="AE170" s="78">
        <f t="shared" si="22"/>
        <v>6.4752999999999989</v>
      </c>
      <c r="AF170" s="75">
        <v>10</v>
      </c>
      <c r="AG170" s="84">
        <f>AD170*AF170+IF(AA170="Kataforez",N(AB170)*AF170,IF(AA170="Yaş boya",ROUNDUP(AF170/MAX(1,ROUND(IF(ISNUMBER(AB170),AB170,'İşçilik Parametreleri'!$B$7),0)),0)*'İşçilik Parametreleri'!$B$6,0))</f>
        <v>64.752999999999986</v>
      </c>
      <c r="AH170" s="70">
        <f t="shared" si="23"/>
        <v>3.2376499999999999</v>
      </c>
    </row>
    <row r="171" spans="1:34" ht="15" customHeight="1" x14ac:dyDescent="0.25">
      <c r="A171" s="82" t="s">
        <v>607</v>
      </c>
      <c r="B171" s="80" t="s">
        <v>23</v>
      </c>
      <c r="C171" s="81" t="s">
        <v>333</v>
      </c>
      <c r="D171" s="68" t="s">
        <v>139</v>
      </c>
      <c r="E171" s="68" t="s">
        <v>130</v>
      </c>
      <c r="F171" s="68">
        <v>1</v>
      </c>
      <c r="G171" s="68">
        <v>3</v>
      </c>
      <c r="H171" s="68">
        <v>2</v>
      </c>
      <c r="I171" s="68">
        <v>2</v>
      </c>
      <c r="J171" s="68">
        <v>0</v>
      </c>
      <c r="K171" s="70">
        <v>2.4119999999999999</v>
      </c>
      <c r="L171" s="70">
        <v>2.4119999999999999</v>
      </c>
      <c r="M171" s="71">
        <f t="shared" si="20"/>
        <v>0</v>
      </c>
      <c r="N171" s="68">
        <v>1</v>
      </c>
      <c r="O171" s="68">
        <v>1</v>
      </c>
      <c r="P171" s="68">
        <v>0</v>
      </c>
      <c r="Q171" s="72">
        <v>400</v>
      </c>
      <c r="R171" s="72">
        <v>0</v>
      </c>
      <c r="S171" s="72">
        <v>0</v>
      </c>
      <c r="T171" s="72">
        <v>0</v>
      </c>
      <c r="U171" s="72">
        <v>0</v>
      </c>
      <c r="V171" s="73">
        <f>SUM(Q171:U171)*'İşçilik Parametreleri'!$B$28/1000</f>
        <v>0.4</v>
      </c>
      <c r="W171" s="70">
        <f>SUMIF('Büküm Parçaları'!$A$2:$A$213,A171,'Büküm Parçaları'!$I$2:$I$213)</f>
        <v>0</v>
      </c>
      <c r="X171" s="70">
        <f>(I171*'İşçilik Parametreleri'!$B$18+IF(L171&gt;'İşçilik Parametreleri'!$B$21,'İşçilik Parametreleri'!$B$20,'İşçilik Parametreleri'!$B$19)+N171*'İşçilik Parametreleri'!$B$22)*'İşçilik Parametreleri'!$B$23</f>
        <v>7.9124999999999996</v>
      </c>
      <c r="Y171" s="70">
        <f>(IF('İşçilik Parametreleri'!$B$27="Resme göre",(Q171*INDEX('İşçilik Parametreleri'!$F$16:$I$20,1,MATCH('İşçilik Parametreleri'!$B$26,{"Manuel","Robot","HTD","Lazer"},0))+R171*INDEX('İşçilik Parametreleri'!$F$16:$I$20,2,MATCH('İşçilik Parametreleri'!$B$26,{"Manuel","Robot","HTD","Lazer"},0))+S171*INDEX('İşçilik Parametreleri'!$F$16:$I$20,3,MATCH('İşçilik Parametreleri'!$B$26,{"Manuel","Robot","HTD","Lazer"},0))+T171*INDEX('İşçilik Parametreleri'!$F$16:$I$20,4,MATCH('İşçilik Parametreleri'!$B$26,{"Manuel","Robot","HTD","Lazer"},0))+U171*INDEX('İşçilik Parametreleri'!$F$16:$I$20,5,MATCH('İşçilik Parametreleri'!$B$26,{"Manuel","Robot","HTD","Lazer"},0))),SUM(Q171:U171)*INDEX('İşçilik Parametreleri'!$F$16:$I$20,MATCH(VALUE('İşçilik Parametreleri'!$B$27),'İşçilik Parametreleri'!$E$16:$E$20,0),MATCH('İşçilik Parametreleri'!$B$26,{"Manuel","Robot","HTD","Lazer"},0)))*'İşçilik Parametreleri'!$B$28/1000+O171*IF(OR('İşçilik Parametreleri'!$B$26="Robot",'İşçilik Parametreleri'!$B$26="HTD"),'İşçilik Parametreleri'!$B$30,'İşçilik Parametreleri'!$B$29))*'İşçilik Parametreleri'!$B$31</f>
        <v>3.8</v>
      </c>
      <c r="Z171" s="74">
        <f t="shared" si="21"/>
        <v>7.027499999999999</v>
      </c>
      <c r="AA171" s="75" t="s">
        <v>124</v>
      </c>
      <c r="AB171" s="76"/>
      <c r="AC171" s="77">
        <f>IF(AA171="Kataforez",N(AB171),IF(AA171="Yaş boya",'İşçilik Parametreleri'!$B$6/MAX(1,ROUND(IF(ISNUMBER(AB171),AB171,'İşçilik Parametreleri'!$B$7),0)),0))</f>
        <v>0</v>
      </c>
      <c r="AD171" s="78">
        <f>W171/100*'İşçilik Parametreleri'!$B$9+X171/100*'İşçilik Parametreleri'!$B$17+Y171/100*'İşçilik Parametreleri'!$B$25</f>
        <v>2.3425000000000002</v>
      </c>
      <c r="AE171" s="78">
        <f t="shared" si="22"/>
        <v>2.3425000000000002</v>
      </c>
      <c r="AF171" s="75">
        <v>26</v>
      </c>
      <c r="AG171" s="84">
        <f>AD171*AF171+IF(AA171="Kataforez",N(AB171)*AF171,IF(AA171="Yaş boya",ROUNDUP(AF171/MAX(1,ROUND(IF(ISNUMBER(AB171),AB171,'İşçilik Parametreleri'!$B$7),0)),0)*'İşçilik Parametreleri'!$B$6,0))</f>
        <v>60.905000000000008</v>
      </c>
      <c r="AH171" s="70">
        <f t="shared" si="23"/>
        <v>3.0452499999999998</v>
      </c>
    </row>
    <row r="172" spans="1:34" ht="15" customHeight="1" x14ac:dyDescent="0.25">
      <c r="A172" s="82" t="s">
        <v>608</v>
      </c>
      <c r="B172" s="68" t="s">
        <v>439</v>
      </c>
      <c r="C172" s="69" t="s">
        <v>335</v>
      </c>
      <c r="D172" s="68" t="s">
        <v>139</v>
      </c>
      <c r="E172" s="68" t="s">
        <v>130</v>
      </c>
      <c r="F172" s="68">
        <v>2</v>
      </c>
      <c r="G172" s="68">
        <v>2</v>
      </c>
      <c r="H172" s="68">
        <v>3</v>
      </c>
      <c r="I172" s="68">
        <v>3</v>
      </c>
      <c r="J172" s="68">
        <v>0</v>
      </c>
      <c r="K172" s="70">
        <v>12.151</v>
      </c>
      <c r="L172" s="70">
        <v>15.52</v>
      </c>
      <c r="M172" s="71">
        <f t="shared" si="20"/>
        <v>0.27726113077112996</v>
      </c>
      <c r="N172" s="68">
        <v>2</v>
      </c>
      <c r="O172" s="68">
        <v>2</v>
      </c>
      <c r="P172" s="68">
        <v>0</v>
      </c>
      <c r="Q172" s="72">
        <v>169</v>
      </c>
      <c r="R172" s="72">
        <v>0</v>
      </c>
      <c r="S172" s="72">
        <v>0</v>
      </c>
      <c r="T172" s="72">
        <v>0</v>
      </c>
      <c r="U172" s="72">
        <v>0</v>
      </c>
      <c r="V172" s="73">
        <f>SUM(Q172:U172)*'İşçilik Parametreleri'!$B$28/1000</f>
        <v>0.16900000000000001</v>
      </c>
      <c r="W172" s="70">
        <f>SUMIF('Büküm Parçaları'!$A$2:$A$213,A172,'Büküm Parçaları'!$I$2:$I$213)</f>
        <v>0</v>
      </c>
      <c r="X172" s="70">
        <f>(I172*'İşçilik Parametreleri'!$B$18+IF(L172&gt;'İşçilik Parametreleri'!$B$21,'İşçilik Parametreleri'!$B$20,'İşçilik Parametreleri'!$B$19)+N172*'İşçilik Parametreleri'!$B$22)*'İşçilik Parametreleri'!$B$23</f>
        <v>10.4125</v>
      </c>
      <c r="Y172" s="70">
        <f>(IF('İşçilik Parametreleri'!$B$27="Resme göre",(Q172*INDEX('İşçilik Parametreleri'!$F$16:$I$20,1,MATCH('İşçilik Parametreleri'!$B$26,{"Manuel","Robot","HTD","Lazer"},0))+R172*INDEX('İşçilik Parametreleri'!$F$16:$I$20,2,MATCH('İşçilik Parametreleri'!$B$26,{"Manuel","Robot","HTD","Lazer"},0))+S172*INDEX('İşçilik Parametreleri'!$F$16:$I$20,3,MATCH('İşçilik Parametreleri'!$B$26,{"Manuel","Robot","HTD","Lazer"},0))+T172*INDEX('İşçilik Parametreleri'!$F$16:$I$20,4,MATCH('İşçilik Parametreleri'!$B$26,{"Manuel","Robot","HTD","Lazer"},0))+U172*INDEX('İşçilik Parametreleri'!$F$16:$I$20,5,MATCH('İşçilik Parametreleri'!$B$26,{"Manuel","Robot","HTD","Lazer"},0))),SUM(Q172:U172)*INDEX('İşçilik Parametreleri'!$F$16:$I$20,MATCH(VALUE('İşçilik Parametreleri'!$B$27),'İşçilik Parametreleri'!$E$16:$E$20,0),MATCH('İşçilik Parametreleri'!$B$26,{"Manuel","Robot","HTD","Lazer"},0)))*'İşçilik Parametreleri'!$B$28/1000+O172*IF(OR('İşçilik Parametreleri'!$B$26="Robot",'İşçilik Parametreleri'!$B$26="HTD"),'İşçilik Parametreleri'!$B$30,'İşçilik Parametreleri'!$B$29))*'İşçilik Parametreleri'!$B$31</f>
        <v>3.1829999999999998</v>
      </c>
      <c r="Z172" s="74">
        <f t="shared" si="21"/>
        <v>8.1572999999999993</v>
      </c>
      <c r="AA172" s="75" t="s">
        <v>124</v>
      </c>
      <c r="AB172" s="76"/>
      <c r="AC172" s="77">
        <f>IF(AA172="Kataforez",N(AB172),IF(AA172="Yaş boya",'İşçilik Parametreleri'!$B$6/MAX(1,ROUND(IF(ISNUMBER(AB172),AB172,'İşçilik Parametreleri'!$B$7),0)),0))</f>
        <v>0</v>
      </c>
      <c r="AD172" s="78">
        <f>W172/100*'İşçilik Parametreleri'!$B$9+X172/100*'İşçilik Parametreleri'!$B$17+Y172/100*'İşçilik Parametreleri'!$B$25</f>
        <v>2.7191000000000001</v>
      </c>
      <c r="AE172" s="78">
        <f t="shared" si="22"/>
        <v>2.7191000000000001</v>
      </c>
      <c r="AF172" s="75">
        <v>22</v>
      </c>
      <c r="AG172" s="84">
        <f>AD172*AF172+IF(AA172="Kataforez",N(AB172)*AF172,IF(AA172="Yaş boya",ROUNDUP(AF172/MAX(1,ROUND(IF(ISNUMBER(AB172),AB172,'İşçilik Parametreleri'!$B$7),0)),0)*'İşçilik Parametreleri'!$B$6,0))</f>
        <v>59.8202</v>
      </c>
      <c r="AH172" s="70">
        <f t="shared" si="23"/>
        <v>2.9910100000000002</v>
      </c>
    </row>
    <row r="173" spans="1:34" ht="15" customHeight="1" x14ac:dyDescent="0.25">
      <c r="A173" s="82" t="s">
        <v>609</v>
      </c>
      <c r="B173" s="80" t="s">
        <v>23</v>
      </c>
      <c r="C173" s="81" t="s">
        <v>337</v>
      </c>
      <c r="D173" s="68" t="s">
        <v>139</v>
      </c>
      <c r="E173" s="68" t="s">
        <v>130</v>
      </c>
      <c r="F173" s="68">
        <v>1</v>
      </c>
      <c r="G173" s="68">
        <v>2</v>
      </c>
      <c r="H173" s="68">
        <v>5</v>
      </c>
      <c r="I173" s="68">
        <v>5</v>
      </c>
      <c r="J173" s="68">
        <v>4</v>
      </c>
      <c r="K173" s="70">
        <v>6.391</v>
      </c>
      <c r="L173" s="70">
        <v>6.3920000000000003</v>
      </c>
      <c r="M173" s="71">
        <f t="shared" si="20"/>
        <v>1.5647003598816053E-4</v>
      </c>
      <c r="N173" s="68">
        <v>4</v>
      </c>
      <c r="O173" s="68">
        <v>0</v>
      </c>
      <c r="P173" s="68">
        <v>4</v>
      </c>
      <c r="Q173" s="72">
        <v>0</v>
      </c>
      <c r="R173" s="72">
        <v>0</v>
      </c>
      <c r="S173" s="72">
        <v>0</v>
      </c>
      <c r="T173" s="72">
        <v>0</v>
      </c>
      <c r="U173" s="72">
        <v>0</v>
      </c>
      <c r="V173" s="73">
        <f>SUM(Q173:U173)*'İşçilik Parametreleri'!$B$28/1000</f>
        <v>0</v>
      </c>
      <c r="W173" s="70">
        <f>SUMIF('Büküm Parçaları'!$A$2:$A$213,A173,'Büküm Parçaları'!$I$2:$I$213)</f>
        <v>14.17375</v>
      </c>
      <c r="X173" s="70">
        <f>(I173*'İşçilik Parametreleri'!$B$18+IF(L173&gt;'İşçilik Parametreleri'!$B$21,'İşçilik Parametreleri'!$B$20,'İşçilik Parametreleri'!$B$19)+N173*'İşçilik Parametreleri'!$B$22)*'İşçilik Parametreleri'!$B$23</f>
        <v>15.4125</v>
      </c>
      <c r="Y173" s="70">
        <f>(IF('İşçilik Parametreleri'!$B$27="Resme göre",(Q173*INDEX('İşçilik Parametreleri'!$F$16:$I$20,1,MATCH('İşçilik Parametreleri'!$B$26,{"Manuel","Robot","HTD","Lazer"},0))+R173*INDEX('İşçilik Parametreleri'!$F$16:$I$20,2,MATCH('İşçilik Parametreleri'!$B$26,{"Manuel","Robot","HTD","Lazer"},0))+S173*INDEX('İşçilik Parametreleri'!$F$16:$I$20,3,MATCH('İşçilik Parametreleri'!$B$26,{"Manuel","Robot","HTD","Lazer"},0))+T173*INDEX('İşçilik Parametreleri'!$F$16:$I$20,4,MATCH('İşçilik Parametreleri'!$B$26,{"Manuel","Robot","HTD","Lazer"},0))+U173*INDEX('İşçilik Parametreleri'!$F$16:$I$20,5,MATCH('İşçilik Parametreleri'!$B$26,{"Manuel","Robot","HTD","Lazer"},0))),SUM(Q173:U173)*INDEX('İşçilik Parametreleri'!$F$16:$I$20,MATCH(VALUE('İşçilik Parametreleri'!$B$27),'İşçilik Parametreleri'!$E$16:$E$20,0),MATCH('İşçilik Parametreleri'!$B$26,{"Manuel","Robot","HTD","Lazer"},0)))*'İşçilik Parametreleri'!$B$28/1000+O173*IF(OR('İşçilik Parametreleri'!$B$26="Robot",'İşçilik Parametreleri'!$B$26="HTD"),'İşçilik Parametreleri'!$B$30,'İşçilik Parametreleri'!$B$29))*'İşçilik Parametreleri'!$B$31</f>
        <v>0</v>
      </c>
      <c r="Z173" s="74">
        <f t="shared" si="21"/>
        <v>17.751749999999998</v>
      </c>
      <c r="AA173" s="75" t="s">
        <v>124</v>
      </c>
      <c r="AB173" s="76"/>
      <c r="AC173" s="77">
        <f>IF(AA173="Kataforez",N(AB173),IF(AA173="Yaş boya",'İşçilik Parametreleri'!$B$6/MAX(1,ROUND(IF(ISNUMBER(AB173),AB173,'İşçilik Parametreleri'!$B$7),0)),0))</f>
        <v>0</v>
      </c>
      <c r="AD173" s="78">
        <f>W173/100*'İşçilik Parametreleri'!$B$9+X173/100*'İşçilik Parametreleri'!$B$17+Y173/100*'İşçilik Parametreleri'!$B$25</f>
        <v>5.9172499999999992</v>
      </c>
      <c r="AE173" s="78">
        <f t="shared" si="22"/>
        <v>5.9172499999999992</v>
      </c>
      <c r="AF173" s="75">
        <v>10</v>
      </c>
      <c r="AG173" s="84">
        <f>AD173*AF173+IF(AA173="Kataforez",N(AB173)*AF173,IF(AA173="Yaş boya",ROUNDUP(AF173/MAX(1,ROUND(IF(ISNUMBER(AB173),AB173,'İşçilik Parametreleri'!$B$7),0)),0)*'İşçilik Parametreleri'!$B$6,0))</f>
        <v>59.172499999999992</v>
      </c>
      <c r="AH173" s="70">
        <f t="shared" si="23"/>
        <v>2.9586250000000001</v>
      </c>
    </row>
    <row r="174" spans="1:34" ht="15" customHeight="1" x14ac:dyDescent="0.25">
      <c r="A174" s="82" t="s">
        <v>610</v>
      </c>
      <c r="B174" s="80" t="s">
        <v>23</v>
      </c>
      <c r="C174" s="81" t="s">
        <v>339</v>
      </c>
      <c r="D174" s="68" t="s">
        <v>340</v>
      </c>
      <c r="E174" s="68" t="s">
        <v>130</v>
      </c>
      <c r="F174" s="68">
        <v>1</v>
      </c>
      <c r="G174" s="68">
        <v>2</v>
      </c>
      <c r="H174" s="68">
        <v>4</v>
      </c>
      <c r="I174" s="68">
        <v>4</v>
      </c>
      <c r="J174" s="68">
        <v>2</v>
      </c>
      <c r="K174" s="70">
        <v>2.3140000000000001</v>
      </c>
      <c r="L174" s="70">
        <v>2.2879999999999998</v>
      </c>
      <c r="M174" s="71">
        <f t="shared" si="20"/>
        <v>-1.1235955056179881E-2</v>
      </c>
      <c r="N174" s="68">
        <v>4</v>
      </c>
      <c r="O174" s="68">
        <v>4</v>
      </c>
      <c r="P174" s="68">
        <v>0</v>
      </c>
      <c r="Q174" s="72">
        <v>0</v>
      </c>
      <c r="R174" s="72">
        <v>0</v>
      </c>
      <c r="S174" s="72">
        <v>400</v>
      </c>
      <c r="T174" s="72">
        <v>0</v>
      </c>
      <c r="U174" s="72">
        <v>0</v>
      </c>
      <c r="V174" s="73">
        <f>SUM(Q174:U174)*'İşçilik Parametreleri'!$B$28/1000</f>
        <v>0.4</v>
      </c>
      <c r="W174" s="70">
        <f>SUMIF('Büküm Parçaları'!$A$2:$A$213,A174,'Büküm Parçaları'!$I$2:$I$213)</f>
        <v>6.5549999999999997</v>
      </c>
      <c r="X174" s="70">
        <f>(I174*'İşçilik Parametreleri'!$B$18+IF(L174&gt;'İşçilik Parametreleri'!$B$21,'İşçilik Parametreleri'!$B$20,'İşçilik Parametreleri'!$B$19)+N174*'İşçilik Parametreleri'!$B$22)*'İşçilik Parametreleri'!$B$23</f>
        <v>14.1625</v>
      </c>
      <c r="Y174" s="70">
        <f>(IF('İşçilik Parametreleri'!$B$27="Resme göre",(Q174*INDEX('İşçilik Parametreleri'!$F$16:$I$20,1,MATCH('İşçilik Parametreleri'!$B$26,{"Manuel","Robot","HTD","Lazer"},0))+R174*INDEX('İşçilik Parametreleri'!$F$16:$I$20,2,MATCH('İşçilik Parametreleri'!$B$26,{"Manuel","Robot","HTD","Lazer"},0))+S174*INDEX('İşçilik Parametreleri'!$F$16:$I$20,3,MATCH('İşçilik Parametreleri'!$B$26,{"Manuel","Robot","HTD","Lazer"},0))+T174*INDEX('İşçilik Parametreleri'!$F$16:$I$20,4,MATCH('İşçilik Parametreleri'!$B$26,{"Manuel","Robot","HTD","Lazer"},0))+U174*INDEX('İşçilik Parametreleri'!$F$16:$I$20,5,MATCH('İşçilik Parametreleri'!$B$26,{"Manuel","Robot","HTD","Lazer"},0))),SUM(Q174:U174)*INDEX('İşçilik Parametreleri'!$F$16:$I$20,MATCH(VALUE('İşçilik Parametreleri'!$B$27),'İşçilik Parametreleri'!$E$16:$E$20,0),MATCH('İşçilik Parametreleri'!$B$26,{"Manuel","Robot","HTD","Lazer"},0)))*'İşçilik Parametreleri'!$B$28/1000+O174*IF(OR('İşçilik Parametreleri'!$B$26="Robot",'İşçilik Parametreleri'!$B$26="HTD"),'İşçilik Parametreleri'!$B$30,'İşçilik Parametreleri'!$B$29))*'İşçilik Parametreleri'!$B$31</f>
        <v>11.2</v>
      </c>
      <c r="Z174" s="74">
        <f t="shared" si="21"/>
        <v>19.150500000000001</v>
      </c>
      <c r="AA174" s="75" t="s">
        <v>124</v>
      </c>
      <c r="AB174" s="76"/>
      <c r="AC174" s="77">
        <f>IF(AA174="Kataforez",N(AB174),IF(AA174="Yaş boya",'İşçilik Parametreleri'!$B$6/MAX(1,ROUND(IF(ISNUMBER(AB174),AB174,'İşçilik Parametreleri'!$B$7),0)),0))</f>
        <v>0</v>
      </c>
      <c r="AD174" s="78">
        <f>W174/100*'İşçilik Parametreleri'!$B$9+X174/100*'İşçilik Parametreleri'!$B$17+Y174/100*'İşçilik Parametreleri'!$B$25</f>
        <v>6.3834999999999997</v>
      </c>
      <c r="AE174" s="78">
        <f t="shared" si="22"/>
        <v>6.3834999999999997</v>
      </c>
      <c r="AF174" s="75">
        <v>9</v>
      </c>
      <c r="AG174" s="84">
        <f>AD174*AF174+IF(AA174="Kataforez",N(AB174)*AF174,IF(AA174="Yaş boya",ROUNDUP(AF174/MAX(1,ROUND(IF(ISNUMBER(AB174),AB174,'İşçilik Parametreleri'!$B$7),0)),0)*'İşçilik Parametreleri'!$B$6,0))</f>
        <v>57.451499999999996</v>
      </c>
      <c r="AH174" s="70">
        <f t="shared" si="23"/>
        <v>2.8725749999999999</v>
      </c>
    </row>
    <row r="175" spans="1:34" ht="15" customHeight="1" x14ac:dyDescent="0.25">
      <c r="A175" s="82" t="s">
        <v>611</v>
      </c>
      <c r="B175" s="80" t="s">
        <v>23</v>
      </c>
      <c r="C175" s="81" t="s">
        <v>341</v>
      </c>
      <c r="D175" s="68" t="s">
        <v>139</v>
      </c>
      <c r="E175" s="68" t="s">
        <v>130</v>
      </c>
      <c r="F175" s="68">
        <v>1</v>
      </c>
      <c r="G175" s="68">
        <v>3</v>
      </c>
      <c r="H175" s="68">
        <v>3</v>
      </c>
      <c r="I175" s="68">
        <v>3</v>
      </c>
      <c r="J175" s="68">
        <v>1</v>
      </c>
      <c r="K175" s="70">
        <v>1.359</v>
      </c>
      <c r="L175" s="70">
        <v>1.3580000000000001</v>
      </c>
      <c r="M175" s="71">
        <f t="shared" si="20"/>
        <v>-7.3583517292118465E-4</v>
      </c>
      <c r="N175" s="68">
        <v>2</v>
      </c>
      <c r="O175" s="68">
        <v>2</v>
      </c>
      <c r="P175" s="68">
        <v>0</v>
      </c>
      <c r="Q175" s="72">
        <v>300</v>
      </c>
      <c r="R175" s="72">
        <v>0</v>
      </c>
      <c r="S175" s="72">
        <v>0</v>
      </c>
      <c r="T175" s="72">
        <v>0</v>
      </c>
      <c r="U175" s="72">
        <v>0</v>
      </c>
      <c r="V175" s="73">
        <f>SUM(Q175:U175)*'İşçilik Parametreleri'!$B$28/1000</f>
        <v>0.3</v>
      </c>
      <c r="W175" s="70">
        <f>SUMIF('Büküm Parçaları'!$A$2:$A$213,A175,'Büküm Parçaları'!$I$2:$I$213)</f>
        <v>5.4049999999999994</v>
      </c>
      <c r="X175" s="70">
        <f>(I175*'İşçilik Parametreleri'!$B$18+IF(L175&gt;'İşçilik Parametreleri'!$B$21,'İşçilik Parametreleri'!$B$20,'İşçilik Parametreleri'!$B$19)+N175*'İşçilik Parametreleri'!$B$22)*'İşçilik Parametreleri'!$B$23</f>
        <v>10.4125</v>
      </c>
      <c r="Y175" s="70">
        <f>(IF('İşçilik Parametreleri'!$B$27="Resme göre",(Q175*INDEX('İşçilik Parametreleri'!$F$16:$I$20,1,MATCH('İşçilik Parametreleri'!$B$26,{"Manuel","Robot","HTD","Lazer"},0))+R175*INDEX('İşçilik Parametreleri'!$F$16:$I$20,2,MATCH('İşçilik Parametreleri'!$B$26,{"Manuel","Robot","HTD","Lazer"},0))+S175*INDEX('İşçilik Parametreleri'!$F$16:$I$20,3,MATCH('İşçilik Parametreleri'!$B$26,{"Manuel","Robot","HTD","Lazer"},0))+T175*INDEX('İşçilik Parametreleri'!$F$16:$I$20,4,MATCH('İşçilik Parametreleri'!$B$26,{"Manuel","Robot","HTD","Lazer"},0))+U175*INDEX('İşçilik Parametreleri'!$F$16:$I$20,5,MATCH('İşçilik Parametreleri'!$B$26,{"Manuel","Robot","HTD","Lazer"},0))),SUM(Q175:U175)*INDEX('İşçilik Parametreleri'!$F$16:$I$20,MATCH(VALUE('İşçilik Parametreleri'!$B$27),'İşçilik Parametreleri'!$E$16:$E$20,0),MATCH('İşçilik Parametreleri'!$B$26,{"Manuel","Robot","HTD","Lazer"},0)))*'İşçilik Parametreleri'!$B$28/1000+O175*IF(OR('İşçilik Parametreleri'!$B$26="Robot",'İşçilik Parametreleri'!$B$26="HTD"),'İşçilik Parametreleri'!$B$30,'İşçilik Parametreleri'!$B$29))*'İşçilik Parametreleri'!$B$31</f>
        <v>4.0999999999999996</v>
      </c>
      <c r="Z175" s="74">
        <f t="shared" si="21"/>
        <v>11.950499999999998</v>
      </c>
      <c r="AA175" s="75" t="s">
        <v>124</v>
      </c>
      <c r="AB175" s="76"/>
      <c r="AC175" s="77">
        <f>IF(AA175="Kataforez",N(AB175),IF(AA175="Yaş boya",'İşçilik Parametreleri'!$B$6/MAX(1,ROUND(IF(ISNUMBER(AB175),AB175,'İşçilik Parametreleri'!$B$7),0)),0))</f>
        <v>0</v>
      </c>
      <c r="AD175" s="78">
        <f>W175/100*'İşçilik Parametreleri'!$B$9+X175/100*'İşçilik Parametreleri'!$B$17+Y175/100*'İşçilik Parametreleri'!$B$25</f>
        <v>3.9834999999999998</v>
      </c>
      <c r="AE175" s="78">
        <f t="shared" si="22"/>
        <v>3.9834999999999998</v>
      </c>
      <c r="AF175" s="75">
        <v>14</v>
      </c>
      <c r="AG175" s="84">
        <f>AD175*AF175+IF(AA175="Kataforez",N(AB175)*AF175,IF(AA175="Yaş boya",ROUNDUP(AF175/MAX(1,ROUND(IF(ISNUMBER(AB175),AB175,'İşçilik Parametreleri'!$B$7),0)),0)*'İşçilik Parametreleri'!$B$6,0))</f>
        <v>55.768999999999998</v>
      </c>
      <c r="AH175" s="70">
        <f t="shared" si="23"/>
        <v>2.7884499999999997</v>
      </c>
    </row>
    <row r="176" spans="1:34" ht="15" customHeight="1" x14ac:dyDescent="0.25">
      <c r="A176" s="82" t="s">
        <v>612</v>
      </c>
      <c r="B176" s="80" t="s">
        <v>23</v>
      </c>
      <c r="C176" s="81" t="s">
        <v>342</v>
      </c>
      <c r="D176" s="68" t="s">
        <v>117</v>
      </c>
      <c r="E176" s="68" t="s">
        <v>130</v>
      </c>
      <c r="F176" s="68">
        <v>1</v>
      </c>
      <c r="G176" s="68">
        <v>3</v>
      </c>
      <c r="H176" s="68">
        <v>8</v>
      </c>
      <c r="I176" s="68">
        <v>6</v>
      </c>
      <c r="J176" s="68">
        <v>6</v>
      </c>
      <c r="K176" s="70">
        <v>6.375</v>
      </c>
      <c r="L176" s="70">
        <v>6.3760000000000003</v>
      </c>
      <c r="M176" s="71">
        <f t="shared" si="20"/>
        <v>1.5686274509809161E-4</v>
      </c>
      <c r="N176" s="68">
        <v>6</v>
      </c>
      <c r="O176" s="68">
        <v>6</v>
      </c>
      <c r="P176" s="68">
        <v>0</v>
      </c>
      <c r="Q176" s="72">
        <v>498</v>
      </c>
      <c r="R176" s="72">
        <v>0</v>
      </c>
      <c r="S176" s="72">
        <v>0</v>
      </c>
      <c r="T176" s="72">
        <v>0</v>
      </c>
      <c r="U176" s="72">
        <v>0</v>
      </c>
      <c r="V176" s="73">
        <f>SUM(Q176:U176)*'İşçilik Parametreleri'!$B$28/1000</f>
        <v>0.498</v>
      </c>
      <c r="W176" s="70">
        <f>SUMIF('Büküm Parçaları'!$A$2:$A$213,A176,'Büküm Parçaları'!$I$2:$I$213)</f>
        <v>19.664999999999999</v>
      </c>
      <c r="X176" s="70">
        <f>(I176*'İşçilik Parametreleri'!$B$18+IF(L176&gt;'İşçilik Parametreleri'!$B$21,'İşçilik Parametreleri'!$B$20,'İşçilik Parametreleri'!$B$19)+N176*'İşçilik Parametreleri'!$B$22)*'İşçilik Parametreleri'!$B$23</f>
        <v>19.162500000000001</v>
      </c>
      <c r="Y176" s="70">
        <f>(IF('İşçilik Parametreleri'!$B$27="Resme göre",(Q176*INDEX('İşçilik Parametreleri'!$F$16:$I$20,1,MATCH('İşçilik Parametreleri'!$B$26,{"Manuel","Robot","HTD","Lazer"},0))+R176*INDEX('İşçilik Parametreleri'!$F$16:$I$20,2,MATCH('İşçilik Parametreleri'!$B$26,{"Manuel","Robot","HTD","Lazer"},0))+S176*INDEX('İşçilik Parametreleri'!$F$16:$I$20,3,MATCH('İşçilik Parametreleri'!$B$26,{"Manuel","Robot","HTD","Lazer"},0))+T176*INDEX('İşçilik Parametreleri'!$F$16:$I$20,4,MATCH('İşçilik Parametreleri'!$B$26,{"Manuel","Robot","HTD","Lazer"},0))+U176*INDEX('İşçilik Parametreleri'!$F$16:$I$20,5,MATCH('İşçilik Parametreleri'!$B$26,{"Manuel","Robot","HTD","Lazer"},0))),SUM(Q176:U176)*INDEX('İşçilik Parametreleri'!$F$16:$I$20,MATCH(VALUE('İşçilik Parametreleri'!$B$27),'İşçilik Parametreleri'!$E$16:$E$20,0),MATCH('İşçilik Parametreleri'!$B$26,{"Manuel","Robot","HTD","Lazer"},0)))*'İşçilik Parametreleri'!$B$28/1000+O176*IF(OR('İşçilik Parametreleri'!$B$26="Robot",'İşçilik Parametreleri'!$B$26="HTD"),'İşçilik Parametreleri'!$B$30,'İşçilik Parametreleri'!$B$29))*'İşçilik Parametreleri'!$B$31</f>
        <v>9.4860000000000007</v>
      </c>
      <c r="Z176" s="74">
        <f t="shared" si="21"/>
        <v>28.988100000000003</v>
      </c>
      <c r="AA176" s="75" t="s">
        <v>124</v>
      </c>
      <c r="AB176" s="76"/>
      <c r="AC176" s="77">
        <f>IF(AA176="Kataforez",N(AB176),IF(AA176="Yaş boya",'İşçilik Parametreleri'!$B$6/MAX(1,ROUND(IF(ISNUMBER(AB176),AB176,'İşçilik Parametreleri'!$B$7),0)),0))</f>
        <v>0</v>
      </c>
      <c r="AD176" s="78">
        <f>W176/100*'İşçilik Parametreleri'!$B$9+X176/100*'İşçilik Parametreleri'!$B$17+Y176/100*'İşçilik Parametreleri'!$B$25</f>
        <v>9.662700000000001</v>
      </c>
      <c r="AE176" s="78">
        <f t="shared" si="22"/>
        <v>9.662700000000001</v>
      </c>
      <c r="AF176" s="75">
        <v>5</v>
      </c>
      <c r="AG176" s="84">
        <f>AD176*AF176+IF(AA176="Kataforez",N(AB176)*AF176,IF(AA176="Yaş boya",ROUNDUP(AF176/MAX(1,ROUND(IF(ISNUMBER(AB176),AB176,'İşçilik Parametreleri'!$B$7),0)),0)*'İşçilik Parametreleri'!$B$6,0))</f>
        <v>48.313500000000005</v>
      </c>
      <c r="AH176" s="70">
        <f t="shared" si="23"/>
        <v>2.4156750000000002</v>
      </c>
    </row>
    <row r="177" spans="1:34" ht="15" customHeight="1" x14ac:dyDescent="0.25">
      <c r="A177" s="82" t="s">
        <v>613</v>
      </c>
      <c r="B177" s="80" t="s">
        <v>23</v>
      </c>
      <c r="C177" s="81" t="s">
        <v>344</v>
      </c>
      <c r="D177" s="68" t="s">
        <v>139</v>
      </c>
      <c r="E177" s="68" t="s">
        <v>130</v>
      </c>
      <c r="F177" s="68">
        <v>1</v>
      </c>
      <c r="G177" s="68">
        <v>2</v>
      </c>
      <c r="H177" s="68">
        <v>7</v>
      </c>
      <c r="I177" s="68">
        <v>7</v>
      </c>
      <c r="J177" s="68">
        <v>0</v>
      </c>
      <c r="K177" s="70">
        <v>5.9740000000000002</v>
      </c>
      <c r="L177" s="70">
        <v>5.9059999999999997</v>
      </c>
      <c r="M177" s="71">
        <f t="shared" si="20"/>
        <v>-1.1382658185470455E-2</v>
      </c>
      <c r="N177" s="68">
        <v>8</v>
      </c>
      <c r="O177" s="68">
        <v>8</v>
      </c>
      <c r="P177" s="68">
        <v>0</v>
      </c>
      <c r="Q177" s="72">
        <v>848</v>
      </c>
      <c r="R177" s="72">
        <v>0</v>
      </c>
      <c r="S177" s="72">
        <v>0</v>
      </c>
      <c r="T177" s="72">
        <v>0</v>
      </c>
      <c r="U177" s="72">
        <v>0</v>
      </c>
      <c r="V177" s="73">
        <f>SUM(Q177:U177)*'İşçilik Parametreleri'!$B$28/1000</f>
        <v>0.84799999999999998</v>
      </c>
      <c r="W177" s="70">
        <f>SUMIF('Büküm Parçaları'!$A$2:$A$213,A177,'Büküm Parçaları'!$I$2:$I$213)</f>
        <v>0</v>
      </c>
      <c r="X177" s="70">
        <f>(I177*'İşçilik Parametreleri'!$B$18+IF(L177&gt;'İşçilik Parametreleri'!$B$21,'İşçilik Parametreleri'!$B$20,'İşçilik Parametreleri'!$B$19)+N177*'İşçilik Parametreleri'!$B$22)*'İşçilik Parametreleri'!$B$23</f>
        <v>22.912499999999998</v>
      </c>
      <c r="Y177" s="70">
        <f>(IF('İşçilik Parametreleri'!$B$27="Resme göre",(Q177*INDEX('İşçilik Parametreleri'!$F$16:$I$20,1,MATCH('İşçilik Parametreleri'!$B$26,{"Manuel","Robot","HTD","Lazer"},0))+R177*INDEX('İşçilik Parametreleri'!$F$16:$I$20,2,MATCH('İşçilik Parametreleri'!$B$26,{"Manuel","Robot","HTD","Lazer"},0))+S177*INDEX('İşçilik Parametreleri'!$F$16:$I$20,3,MATCH('İşçilik Parametreleri'!$B$26,{"Manuel","Robot","HTD","Lazer"},0))+T177*INDEX('İşçilik Parametreleri'!$F$16:$I$20,4,MATCH('İşçilik Parametreleri'!$B$26,{"Manuel","Robot","HTD","Lazer"},0))+U177*INDEX('İşçilik Parametreleri'!$F$16:$I$20,5,MATCH('İşçilik Parametreleri'!$B$26,{"Manuel","Robot","HTD","Lazer"},0))),SUM(Q177:U177)*INDEX('İşçilik Parametreleri'!$F$16:$I$20,MATCH(VALUE('İşçilik Parametreleri'!$B$27),'İşçilik Parametreleri'!$E$16:$E$20,0),MATCH('İşçilik Parametreleri'!$B$26,{"Manuel","Robot","HTD","Lazer"},0)))*'İşçilik Parametreleri'!$B$28/1000+O177*IF(OR('İşçilik Parametreleri'!$B$26="Robot",'İşçilik Parametreleri'!$B$26="HTD"),'İşçilik Parametreleri'!$B$30,'İşçilik Parametreleri'!$B$29))*'İşçilik Parametreleri'!$B$31</f>
        <v>13.936</v>
      </c>
      <c r="Z177" s="74">
        <f t="shared" si="21"/>
        <v>22.109100000000002</v>
      </c>
      <c r="AA177" s="75" t="s">
        <v>124</v>
      </c>
      <c r="AB177" s="76"/>
      <c r="AC177" s="77">
        <f>IF(AA177="Kataforez",N(AB177),IF(AA177="Yaş boya",'İşçilik Parametreleri'!$B$6/MAX(1,ROUND(IF(ISNUMBER(AB177),AB177,'İşçilik Parametreleri'!$B$7),0)),0))</f>
        <v>0</v>
      </c>
      <c r="AD177" s="78">
        <f>W177/100*'İşçilik Parametreleri'!$B$9+X177/100*'İşçilik Parametreleri'!$B$17+Y177/100*'İşçilik Parametreleri'!$B$25</f>
        <v>7.3696999999999999</v>
      </c>
      <c r="AE177" s="78">
        <f t="shared" si="22"/>
        <v>7.3696999999999999</v>
      </c>
      <c r="AF177" s="75">
        <v>6</v>
      </c>
      <c r="AG177" s="84">
        <f>AD177*AF177+IF(AA177="Kataforez",N(AB177)*AF177,IF(AA177="Yaş boya",ROUNDUP(AF177/MAX(1,ROUND(IF(ISNUMBER(AB177),AB177,'İşçilik Parametreleri'!$B$7),0)),0)*'İşçilik Parametreleri'!$B$6,0))</f>
        <v>44.218199999999996</v>
      </c>
      <c r="AH177" s="70">
        <f t="shared" si="23"/>
        <v>2.2109100000000002</v>
      </c>
    </row>
    <row r="178" spans="1:34" ht="15" customHeight="1" x14ac:dyDescent="0.25">
      <c r="A178" s="82" t="s">
        <v>614</v>
      </c>
      <c r="B178" s="80" t="s">
        <v>23</v>
      </c>
      <c r="C178" s="81" t="s">
        <v>346</v>
      </c>
      <c r="D178" s="68" t="s">
        <v>99</v>
      </c>
      <c r="E178" s="68" t="s">
        <v>130</v>
      </c>
      <c r="F178" s="68">
        <v>1</v>
      </c>
      <c r="G178" s="68">
        <v>2</v>
      </c>
      <c r="H178" s="68">
        <v>2</v>
      </c>
      <c r="I178" s="68">
        <v>2</v>
      </c>
      <c r="J178" s="68">
        <v>2</v>
      </c>
      <c r="K178" s="70">
        <v>3.3119999999999998</v>
      </c>
      <c r="L178" s="70">
        <v>3.2770000000000001</v>
      </c>
      <c r="M178" s="71">
        <f t="shared" si="20"/>
        <v>-1.0567632850241456E-2</v>
      </c>
      <c r="N178" s="68">
        <v>2</v>
      </c>
      <c r="O178" s="68">
        <v>2</v>
      </c>
      <c r="P178" s="68">
        <v>0</v>
      </c>
      <c r="Q178" s="72">
        <v>500</v>
      </c>
      <c r="R178" s="72">
        <v>0</v>
      </c>
      <c r="S178" s="72">
        <v>0</v>
      </c>
      <c r="T178" s="72">
        <v>0</v>
      </c>
      <c r="U178" s="72">
        <v>0</v>
      </c>
      <c r="V178" s="73">
        <f>SUM(Q178:U178)*'İşçilik Parametreleri'!$B$28/1000</f>
        <v>0.5</v>
      </c>
      <c r="W178" s="70">
        <f>SUMIF('Büküm Parçaları'!$A$2:$A$213,A178,'Büküm Parçaları'!$I$2:$I$213)</f>
        <v>6.5549999999999997</v>
      </c>
      <c r="X178" s="70">
        <f>(I178*'İşçilik Parametreleri'!$B$18+IF(L178&gt;'İşçilik Parametreleri'!$B$21,'İşçilik Parametreleri'!$B$20,'İşçilik Parametreleri'!$B$19)+N178*'İşçilik Parametreleri'!$B$22)*'İşçilik Parametreleri'!$B$23</f>
        <v>9.1624999999999996</v>
      </c>
      <c r="Y178" s="70">
        <f>(IF('İşçilik Parametreleri'!$B$27="Resme göre",(Q178*INDEX('İşçilik Parametreleri'!$F$16:$I$20,1,MATCH('İşçilik Parametreleri'!$B$26,{"Manuel","Robot","HTD","Lazer"},0))+R178*INDEX('İşçilik Parametreleri'!$F$16:$I$20,2,MATCH('İşçilik Parametreleri'!$B$26,{"Manuel","Robot","HTD","Lazer"},0))+S178*INDEX('İşçilik Parametreleri'!$F$16:$I$20,3,MATCH('İşçilik Parametreleri'!$B$26,{"Manuel","Robot","HTD","Lazer"},0))+T178*INDEX('İşçilik Parametreleri'!$F$16:$I$20,4,MATCH('İşçilik Parametreleri'!$B$26,{"Manuel","Robot","HTD","Lazer"},0))+U178*INDEX('İşçilik Parametreleri'!$F$16:$I$20,5,MATCH('İşçilik Parametreleri'!$B$26,{"Manuel","Robot","HTD","Lazer"},0))),SUM(Q178:U178)*INDEX('İşçilik Parametreleri'!$F$16:$I$20,MATCH(VALUE('İşçilik Parametreleri'!$B$27),'İşçilik Parametreleri'!$E$16:$E$20,0),MATCH('İşçilik Parametreleri'!$B$26,{"Manuel","Robot","HTD","Lazer"},0)))*'İşçilik Parametreleri'!$B$28/1000+O178*IF(OR('İşçilik Parametreleri'!$B$26="Robot",'İşçilik Parametreleri'!$B$26="HTD"),'İşçilik Parametreleri'!$B$30,'İşçilik Parametreleri'!$B$29))*'İşçilik Parametreleri'!$B$31</f>
        <v>5.5</v>
      </c>
      <c r="Z178" s="74">
        <f t="shared" si="21"/>
        <v>12.730500000000001</v>
      </c>
      <c r="AA178" s="75" t="s">
        <v>124</v>
      </c>
      <c r="AB178" s="76"/>
      <c r="AC178" s="77">
        <f>IF(AA178="Kataforez",N(AB178),IF(AA178="Yaş boya",'İşçilik Parametreleri'!$B$6/MAX(1,ROUND(IF(ISNUMBER(AB178),AB178,'İşçilik Parametreleri'!$B$7),0)),0))</f>
        <v>0</v>
      </c>
      <c r="AD178" s="78">
        <f>W178/100*'İşçilik Parametreleri'!$B$9+X178/100*'İşçilik Parametreleri'!$B$17+Y178/100*'İşçilik Parametreleri'!$B$25</f>
        <v>4.2435</v>
      </c>
      <c r="AE178" s="78">
        <f t="shared" si="22"/>
        <v>4.2435</v>
      </c>
      <c r="AF178" s="75">
        <v>10</v>
      </c>
      <c r="AG178" s="84">
        <f>AD178*AF178+IF(AA178="Kataforez",N(AB178)*AF178,IF(AA178="Yaş boya",ROUNDUP(AF178/MAX(1,ROUND(IF(ISNUMBER(AB178),AB178,'İşçilik Parametreleri'!$B$7),0)),0)*'İşçilik Parametreleri'!$B$6,0))</f>
        <v>42.435000000000002</v>
      </c>
      <c r="AH178" s="70">
        <f t="shared" si="23"/>
        <v>2.12175</v>
      </c>
    </row>
    <row r="179" spans="1:34" ht="15" customHeight="1" x14ac:dyDescent="0.25">
      <c r="A179" s="82" t="s">
        <v>615</v>
      </c>
      <c r="B179" s="68" t="s">
        <v>439</v>
      </c>
      <c r="C179" s="69" t="s">
        <v>347</v>
      </c>
      <c r="D179" s="68" t="s">
        <v>130</v>
      </c>
      <c r="E179" s="68" t="s">
        <v>130</v>
      </c>
      <c r="F179" s="68">
        <v>0</v>
      </c>
      <c r="G179" s="68">
        <v>3</v>
      </c>
      <c r="H179" s="68">
        <v>4</v>
      </c>
      <c r="I179" s="68">
        <v>4</v>
      </c>
      <c r="J179" s="68">
        <v>1</v>
      </c>
      <c r="K179" s="70"/>
      <c r="L179" s="70">
        <v>9.5190000000000001</v>
      </c>
      <c r="M179" s="71" t="str">
        <f t="shared" si="20"/>
        <v/>
      </c>
      <c r="N179" s="68">
        <v>5</v>
      </c>
      <c r="O179" s="68">
        <v>5</v>
      </c>
      <c r="P179" s="68">
        <v>0</v>
      </c>
      <c r="Q179" s="72">
        <v>1166</v>
      </c>
      <c r="R179" s="72">
        <v>0</v>
      </c>
      <c r="S179" s="72">
        <v>0</v>
      </c>
      <c r="T179" s="72">
        <v>0</v>
      </c>
      <c r="U179" s="72">
        <v>0</v>
      </c>
      <c r="V179" s="73">
        <f>SUM(Q179:U179)*'İşçilik Parametreleri'!$B$28/1000</f>
        <v>1.1659999999999999</v>
      </c>
      <c r="W179" s="70">
        <f>SUMIF('Büküm Parçaları'!$A$2:$A$213,A179,'Büküm Parçaları'!$I$2:$I$213)</f>
        <v>10.723750000000001</v>
      </c>
      <c r="X179" s="70">
        <f>(I179*'İşçilik Parametreleri'!$B$18+IF(L179&gt;'İşçilik Parametreleri'!$B$21,'İşçilik Parametreleri'!$B$20,'İşçilik Parametreleri'!$B$19)+N179*'İşçilik Parametreleri'!$B$22)*'İşçilik Parametreleri'!$B$23</f>
        <v>15.4125</v>
      </c>
      <c r="Y179" s="70">
        <f>(IF('İşçilik Parametreleri'!$B$27="Resme göre",(Q179*INDEX('İşçilik Parametreleri'!$F$16:$I$20,1,MATCH('İşçilik Parametreleri'!$B$26,{"Manuel","Robot","HTD","Lazer"},0))+R179*INDEX('İşçilik Parametreleri'!$F$16:$I$20,2,MATCH('İşçilik Parametreleri'!$B$26,{"Manuel","Robot","HTD","Lazer"},0))+S179*INDEX('İşçilik Parametreleri'!$F$16:$I$20,3,MATCH('İşçilik Parametreleri'!$B$26,{"Manuel","Robot","HTD","Lazer"},0))+T179*INDEX('İşçilik Parametreleri'!$F$16:$I$20,4,MATCH('İşçilik Parametreleri'!$B$26,{"Manuel","Robot","HTD","Lazer"},0))+U179*INDEX('İşçilik Parametreleri'!$F$16:$I$20,5,MATCH('İşçilik Parametreleri'!$B$26,{"Manuel","Robot","HTD","Lazer"},0))),SUM(Q179:U179)*INDEX('İşçilik Parametreleri'!$F$16:$I$20,MATCH(VALUE('İşçilik Parametreleri'!$B$27),'İşçilik Parametreleri'!$E$16:$E$20,0),MATCH('İşçilik Parametreleri'!$B$26,{"Manuel","Robot","HTD","Lazer"},0)))*'İşçilik Parametreleri'!$B$28/1000+O179*IF(OR('İşçilik Parametreleri'!$B$26="Robot",'İşçilik Parametreleri'!$B$26="HTD"),'İşçilik Parametreleri'!$B$30,'İşçilik Parametreleri'!$B$29))*'İşçilik Parametreleri'!$B$31</f>
        <v>13.162000000000001</v>
      </c>
      <c r="Z179" s="74">
        <f t="shared" si="21"/>
        <v>23.578950000000003</v>
      </c>
      <c r="AA179" s="75" t="s">
        <v>124</v>
      </c>
      <c r="AB179" s="76"/>
      <c r="AC179" s="77">
        <f>IF(AA179="Kataforez",N(AB179),IF(AA179="Yaş boya",'İşçilik Parametreleri'!$B$6/MAX(1,ROUND(IF(ISNUMBER(AB179),AB179,'İşçilik Parametreleri'!$B$7),0)),0))</f>
        <v>0</v>
      </c>
      <c r="AD179" s="78">
        <f>W179/100*'İşçilik Parametreleri'!$B$9+X179/100*'İşçilik Parametreleri'!$B$17+Y179/100*'İşçilik Parametreleri'!$B$25</f>
        <v>7.8596500000000002</v>
      </c>
      <c r="AE179" s="78">
        <f t="shared" si="22"/>
        <v>7.8596500000000002</v>
      </c>
      <c r="AF179" s="75">
        <v>5</v>
      </c>
      <c r="AG179" s="84">
        <f>AD179*AF179+IF(AA179="Kataforez",N(AB179)*AF179,IF(AA179="Yaş boya",ROUNDUP(AF179/MAX(1,ROUND(IF(ISNUMBER(AB179),AB179,'İşçilik Parametreleri'!$B$7),0)),0)*'İşçilik Parametreleri'!$B$6,0))</f>
        <v>39.298250000000003</v>
      </c>
      <c r="AH179" s="70">
        <f t="shared" si="23"/>
        <v>1.9649125000000001</v>
      </c>
    </row>
    <row r="180" spans="1:34" ht="15" customHeight="1" x14ac:dyDescent="0.25">
      <c r="A180" s="82" t="s">
        <v>348</v>
      </c>
      <c r="B180" s="68" t="s">
        <v>439</v>
      </c>
      <c r="C180" s="69" t="s">
        <v>348</v>
      </c>
      <c r="D180" s="68" t="s">
        <v>130</v>
      </c>
      <c r="E180" s="68" t="s">
        <v>130</v>
      </c>
      <c r="F180" s="68">
        <v>2</v>
      </c>
      <c r="G180" s="68">
        <v>2</v>
      </c>
      <c r="H180" s="68">
        <v>4</v>
      </c>
      <c r="I180" s="68">
        <v>4</v>
      </c>
      <c r="J180" s="68">
        <v>0</v>
      </c>
      <c r="K180" s="70"/>
      <c r="L180" s="70">
        <v>8.2889999999999997</v>
      </c>
      <c r="M180" s="71" t="str">
        <f t="shared" si="20"/>
        <v/>
      </c>
      <c r="N180" s="68">
        <v>3</v>
      </c>
      <c r="O180" s="68">
        <v>3</v>
      </c>
      <c r="P180" s="68">
        <v>0</v>
      </c>
      <c r="Q180" s="72">
        <v>405</v>
      </c>
      <c r="R180" s="72">
        <v>0</v>
      </c>
      <c r="S180" s="72">
        <v>0</v>
      </c>
      <c r="T180" s="72">
        <v>0</v>
      </c>
      <c r="U180" s="72">
        <v>0</v>
      </c>
      <c r="V180" s="73">
        <f>SUM(Q180:U180)*'İşçilik Parametreleri'!$B$28/1000</f>
        <v>0.40500000000000003</v>
      </c>
      <c r="W180" s="70">
        <f>SUMIF('Büküm Parçaları'!$A$2:$A$213,A180,'Büküm Parçaları'!$I$2:$I$213)</f>
        <v>0</v>
      </c>
      <c r="X180" s="70">
        <f>(I180*'İşçilik Parametreleri'!$B$18+IF(L180&gt;'İşçilik Parametreleri'!$B$21,'İşçilik Parametreleri'!$B$20,'İşçilik Parametreleri'!$B$19)+N180*'İşçilik Parametreleri'!$B$22)*'İşçilik Parametreleri'!$B$23</f>
        <v>12.9125</v>
      </c>
      <c r="Y180" s="70">
        <f>(IF('İşçilik Parametreleri'!$B$27="Resme göre",(Q180*INDEX('İşçilik Parametreleri'!$F$16:$I$20,1,MATCH('İşçilik Parametreleri'!$B$26,{"Manuel","Robot","HTD","Lazer"},0))+R180*INDEX('İşçilik Parametreleri'!$F$16:$I$20,2,MATCH('İşçilik Parametreleri'!$B$26,{"Manuel","Robot","HTD","Lazer"},0))+S180*INDEX('İşçilik Parametreleri'!$F$16:$I$20,3,MATCH('İşçilik Parametreleri'!$B$26,{"Manuel","Robot","HTD","Lazer"},0))+T180*INDEX('İşçilik Parametreleri'!$F$16:$I$20,4,MATCH('İşçilik Parametreleri'!$B$26,{"Manuel","Robot","HTD","Lazer"},0))+U180*INDEX('İşçilik Parametreleri'!$F$16:$I$20,5,MATCH('İşçilik Parametreleri'!$B$26,{"Manuel","Robot","HTD","Lazer"},0))),SUM(Q180:U180)*INDEX('İşçilik Parametreleri'!$F$16:$I$20,MATCH(VALUE('İşçilik Parametreleri'!$B$27),'İşçilik Parametreleri'!$E$16:$E$20,0),MATCH('İşçilik Parametreleri'!$B$26,{"Manuel","Robot","HTD","Lazer"},0)))*'İşçilik Parametreleri'!$B$28/1000+O180*IF(OR('İşçilik Parametreleri'!$B$26="Robot",'İşçilik Parametreleri'!$B$26="HTD"),'İşçilik Parametreleri'!$B$30,'İşçilik Parametreleri'!$B$29))*'İşçilik Parametreleri'!$B$31</f>
        <v>5.835</v>
      </c>
      <c r="Z180" s="74">
        <f t="shared" si="21"/>
        <v>11.248499999999998</v>
      </c>
      <c r="AA180" s="75" t="s">
        <v>124</v>
      </c>
      <c r="AB180" s="76"/>
      <c r="AC180" s="77">
        <f>IF(AA180="Kataforez",N(AB180),IF(AA180="Yaş boya",'İşçilik Parametreleri'!$B$6/MAX(1,ROUND(IF(ISNUMBER(AB180),AB180,'İşçilik Parametreleri'!$B$7),0)),0))</f>
        <v>0</v>
      </c>
      <c r="AD180" s="78">
        <f>W180/100*'İşçilik Parametreleri'!$B$9+X180/100*'İşçilik Parametreleri'!$B$17+Y180/100*'İşçilik Parametreleri'!$B$25</f>
        <v>3.7494999999999994</v>
      </c>
      <c r="AE180" s="78">
        <f t="shared" si="22"/>
        <v>3.7494999999999994</v>
      </c>
      <c r="AF180" s="75">
        <v>10</v>
      </c>
      <c r="AG180" s="84">
        <f>AD180*AF180+IF(AA180="Kataforez",N(AB180)*AF180,IF(AA180="Yaş boya",ROUNDUP(AF180/MAX(1,ROUND(IF(ISNUMBER(AB180),AB180,'İşçilik Parametreleri'!$B$7),0)),0)*'İşçilik Parametreleri'!$B$6,0))</f>
        <v>37.49499999999999</v>
      </c>
      <c r="AH180" s="70">
        <f t="shared" si="23"/>
        <v>1.8747499999999999</v>
      </c>
    </row>
    <row r="181" spans="1:34" ht="15" customHeight="1" x14ac:dyDescent="0.25">
      <c r="A181" s="82" t="s">
        <v>616</v>
      </c>
      <c r="B181" s="80" t="s">
        <v>23</v>
      </c>
      <c r="C181" s="81" t="s">
        <v>349</v>
      </c>
      <c r="D181" s="68" t="s">
        <v>107</v>
      </c>
      <c r="E181" s="68" t="s">
        <v>130</v>
      </c>
      <c r="F181" s="68">
        <v>1</v>
      </c>
      <c r="G181" s="68">
        <v>3</v>
      </c>
      <c r="H181" s="68">
        <v>2</v>
      </c>
      <c r="I181" s="68">
        <v>2</v>
      </c>
      <c r="J181" s="68">
        <v>0</v>
      </c>
      <c r="K181" s="70">
        <v>1.1479999999999999</v>
      </c>
      <c r="L181" s="70">
        <v>1.1479999999999999</v>
      </c>
      <c r="M181" s="71">
        <f t="shared" si="20"/>
        <v>0</v>
      </c>
      <c r="N181" s="68">
        <v>2</v>
      </c>
      <c r="O181" s="68">
        <v>2</v>
      </c>
      <c r="P181" s="68">
        <v>0</v>
      </c>
      <c r="Q181" s="72">
        <v>110</v>
      </c>
      <c r="R181" s="72">
        <v>0</v>
      </c>
      <c r="S181" s="72">
        <v>0</v>
      </c>
      <c r="T181" s="72">
        <v>0</v>
      </c>
      <c r="U181" s="72">
        <v>0</v>
      </c>
      <c r="V181" s="73">
        <f>SUM(Q181:U181)*'İşçilik Parametreleri'!$B$28/1000</f>
        <v>0.11</v>
      </c>
      <c r="W181" s="70">
        <f>SUMIF('Büküm Parçaları'!$A$2:$A$213,A181,'Büküm Parçaları'!$I$2:$I$213)</f>
        <v>0</v>
      </c>
      <c r="X181" s="70">
        <f>(I181*'İşçilik Parametreleri'!$B$18+IF(L181&gt;'İşçilik Parametreleri'!$B$21,'İşçilik Parametreleri'!$B$20,'İşçilik Parametreleri'!$B$19)+N181*'İşçilik Parametreleri'!$B$22)*'İşçilik Parametreleri'!$B$23</f>
        <v>9.1624999999999996</v>
      </c>
      <c r="Y181" s="70">
        <f>(IF('İşçilik Parametreleri'!$B$27="Resme göre",(Q181*INDEX('İşçilik Parametreleri'!$F$16:$I$20,1,MATCH('İşçilik Parametreleri'!$B$26,{"Manuel","Robot","HTD","Lazer"},0))+R181*INDEX('İşçilik Parametreleri'!$F$16:$I$20,2,MATCH('İşçilik Parametreleri'!$B$26,{"Manuel","Robot","HTD","Lazer"},0))+S181*INDEX('İşçilik Parametreleri'!$F$16:$I$20,3,MATCH('İşçilik Parametreleri'!$B$26,{"Manuel","Robot","HTD","Lazer"},0))+T181*INDEX('İşçilik Parametreleri'!$F$16:$I$20,4,MATCH('İşçilik Parametreleri'!$B$26,{"Manuel","Robot","HTD","Lazer"},0))+U181*INDEX('İşçilik Parametreleri'!$F$16:$I$20,5,MATCH('İşçilik Parametreleri'!$B$26,{"Manuel","Robot","HTD","Lazer"},0))),SUM(Q181:U181)*INDEX('İşçilik Parametreleri'!$F$16:$I$20,MATCH(VALUE('İşçilik Parametreleri'!$B$27),'İşçilik Parametreleri'!$E$16:$E$20,0),MATCH('İşçilik Parametreleri'!$B$26,{"Manuel","Robot","HTD","Lazer"},0)))*'İşçilik Parametreleri'!$B$28/1000+O181*IF(OR('İşçilik Parametreleri'!$B$26="Robot",'İşçilik Parametreleri'!$B$26="HTD"),'İşçilik Parametreleri'!$B$30,'İşçilik Parametreleri'!$B$29))*'İşçilik Parametreleri'!$B$31</f>
        <v>2.77</v>
      </c>
      <c r="Z181" s="74">
        <f t="shared" si="21"/>
        <v>7.1594999999999995</v>
      </c>
      <c r="AA181" s="75" t="s">
        <v>124</v>
      </c>
      <c r="AB181" s="76"/>
      <c r="AC181" s="77">
        <f>IF(AA181="Kataforez",N(AB181),IF(AA181="Yaş boya",'İşçilik Parametreleri'!$B$6/MAX(1,ROUND(IF(ISNUMBER(AB181),AB181,'İşçilik Parametreleri'!$B$7),0)),0))</f>
        <v>0</v>
      </c>
      <c r="AD181" s="78">
        <f>W181/100*'İşçilik Parametreleri'!$B$9+X181/100*'İşçilik Parametreleri'!$B$17+Y181/100*'İşçilik Parametreleri'!$B$25</f>
        <v>2.3864999999999998</v>
      </c>
      <c r="AE181" s="78">
        <f t="shared" si="22"/>
        <v>2.3864999999999998</v>
      </c>
      <c r="AF181" s="75">
        <v>15</v>
      </c>
      <c r="AG181" s="84">
        <f>AD181*AF181+IF(AA181="Kataforez",N(AB181)*AF181,IF(AA181="Yaş boya",ROUNDUP(AF181/MAX(1,ROUND(IF(ISNUMBER(AB181),AB181,'İşçilik Parametreleri'!$B$7),0)),0)*'İşçilik Parametreleri'!$B$6,0))</f>
        <v>35.797499999999999</v>
      </c>
      <c r="AH181" s="70">
        <f t="shared" si="23"/>
        <v>1.7898749999999999</v>
      </c>
    </row>
    <row r="182" spans="1:34" ht="15" customHeight="1" x14ac:dyDescent="0.25">
      <c r="A182" s="82" t="s">
        <v>617</v>
      </c>
      <c r="B182" s="80" t="s">
        <v>23</v>
      </c>
      <c r="C182" s="81" t="s">
        <v>350</v>
      </c>
      <c r="D182" s="68" t="s">
        <v>194</v>
      </c>
      <c r="E182" s="68" t="s">
        <v>130</v>
      </c>
      <c r="F182" s="68">
        <v>1</v>
      </c>
      <c r="G182" s="68">
        <v>3</v>
      </c>
      <c r="H182" s="68">
        <v>4</v>
      </c>
      <c r="I182" s="68">
        <v>4</v>
      </c>
      <c r="J182" s="68">
        <v>0</v>
      </c>
      <c r="K182" s="70">
        <v>2.7719999999999998</v>
      </c>
      <c r="L182" s="70">
        <v>2.766</v>
      </c>
      <c r="M182" s="71">
        <f t="shared" si="20"/>
        <v>-2.1645021645020864E-3</v>
      </c>
      <c r="N182" s="68">
        <v>3</v>
      </c>
      <c r="O182" s="68">
        <v>3</v>
      </c>
      <c r="P182" s="68">
        <v>0</v>
      </c>
      <c r="Q182" s="72">
        <v>120</v>
      </c>
      <c r="R182" s="72">
        <v>0</v>
      </c>
      <c r="S182" s="72">
        <v>0</v>
      </c>
      <c r="T182" s="72">
        <v>0</v>
      </c>
      <c r="U182" s="72">
        <v>0</v>
      </c>
      <c r="V182" s="73">
        <f>SUM(Q182:U182)*'İşçilik Parametreleri'!$B$28/1000</f>
        <v>0.12</v>
      </c>
      <c r="W182" s="70">
        <f>SUMIF('Büküm Parçaları'!$A$2:$A$213,A182,'Büküm Parçaları'!$I$2:$I$213)</f>
        <v>0</v>
      </c>
      <c r="X182" s="70">
        <f>(I182*'İşçilik Parametreleri'!$B$18+IF(L182&gt;'İşçilik Parametreleri'!$B$21,'İşçilik Parametreleri'!$B$20,'İşçilik Parametreleri'!$B$19)+N182*'İşçilik Parametreleri'!$B$22)*'İşçilik Parametreleri'!$B$23</f>
        <v>12.9125</v>
      </c>
      <c r="Y182" s="70">
        <f>(IF('İşçilik Parametreleri'!$B$27="Resme göre",(Q182*INDEX('İşçilik Parametreleri'!$F$16:$I$20,1,MATCH('İşçilik Parametreleri'!$B$26,{"Manuel","Robot","HTD","Lazer"},0))+R182*INDEX('İşçilik Parametreleri'!$F$16:$I$20,2,MATCH('İşçilik Parametreleri'!$B$26,{"Manuel","Robot","HTD","Lazer"},0))+S182*INDEX('İşçilik Parametreleri'!$F$16:$I$20,3,MATCH('İşçilik Parametreleri'!$B$26,{"Manuel","Robot","HTD","Lazer"},0))+T182*INDEX('İşçilik Parametreleri'!$F$16:$I$20,4,MATCH('İşçilik Parametreleri'!$B$26,{"Manuel","Robot","HTD","Lazer"},0))+U182*INDEX('İşçilik Parametreleri'!$F$16:$I$20,5,MATCH('İşçilik Parametreleri'!$B$26,{"Manuel","Robot","HTD","Lazer"},0))),SUM(Q182:U182)*INDEX('İşçilik Parametreleri'!$F$16:$I$20,MATCH(VALUE('İşçilik Parametreleri'!$B$27),'İşçilik Parametreleri'!$E$16:$E$20,0),MATCH('İşçilik Parametreleri'!$B$26,{"Manuel","Robot","HTD","Lazer"},0)))*'İşçilik Parametreleri'!$B$28/1000+O182*IF(OR('İşçilik Parametreleri'!$B$26="Robot",'İşçilik Parametreleri'!$B$26="HTD"),'İşçilik Parametreleri'!$B$30,'İşçilik Parametreleri'!$B$29))*'İşçilik Parametreleri'!$B$31</f>
        <v>3.84</v>
      </c>
      <c r="Z182" s="74">
        <f t="shared" si="21"/>
        <v>10.051499999999999</v>
      </c>
      <c r="AA182" s="75" t="s">
        <v>124</v>
      </c>
      <c r="AB182" s="76"/>
      <c r="AC182" s="77">
        <f>IF(AA182="Kataforez",N(AB182),IF(AA182="Yaş boya",'İşçilik Parametreleri'!$B$6/MAX(1,ROUND(IF(ISNUMBER(AB182),AB182,'İşçilik Parametreleri'!$B$7),0)),0))</f>
        <v>0</v>
      </c>
      <c r="AD182" s="78">
        <f>W182/100*'İşçilik Parametreleri'!$B$9+X182/100*'İşçilik Parametreleri'!$B$17+Y182/100*'İşçilik Parametreleri'!$B$25</f>
        <v>3.3504999999999994</v>
      </c>
      <c r="AE182" s="78">
        <f t="shared" si="22"/>
        <v>3.3504999999999994</v>
      </c>
      <c r="AF182" s="75">
        <v>10</v>
      </c>
      <c r="AG182" s="84">
        <f>AD182*AF182+IF(AA182="Kataforez",N(AB182)*AF182,IF(AA182="Yaş boya",ROUNDUP(AF182/MAX(1,ROUND(IF(ISNUMBER(AB182),AB182,'İşçilik Parametreleri'!$B$7),0)),0)*'İşçilik Parametreleri'!$B$6,0))</f>
        <v>33.504999999999995</v>
      </c>
      <c r="AH182" s="70">
        <f t="shared" si="23"/>
        <v>1.6752499999999997</v>
      </c>
    </row>
    <row r="183" spans="1:34" ht="15" customHeight="1" x14ac:dyDescent="0.25">
      <c r="A183" s="82" t="s">
        <v>618</v>
      </c>
      <c r="B183" s="80" t="s">
        <v>23</v>
      </c>
      <c r="C183" s="81" t="s">
        <v>351</v>
      </c>
      <c r="D183" s="68" t="s">
        <v>139</v>
      </c>
      <c r="E183" s="68" t="s">
        <v>130</v>
      </c>
      <c r="F183" s="68">
        <v>1</v>
      </c>
      <c r="G183" s="68">
        <v>2</v>
      </c>
      <c r="H183" s="68">
        <v>2</v>
      </c>
      <c r="I183" s="68">
        <v>2</v>
      </c>
      <c r="J183" s="68">
        <v>2</v>
      </c>
      <c r="K183" s="70">
        <v>3.129</v>
      </c>
      <c r="L183" s="70">
        <v>3.129</v>
      </c>
      <c r="M183" s="71">
        <f t="shared" si="20"/>
        <v>0</v>
      </c>
      <c r="N183" s="68">
        <v>2</v>
      </c>
      <c r="O183" s="68">
        <v>2</v>
      </c>
      <c r="P183" s="68">
        <v>0</v>
      </c>
      <c r="Q183" s="72">
        <v>0</v>
      </c>
      <c r="R183" s="72">
        <v>0</v>
      </c>
      <c r="S183" s="72">
        <v>384</v>
      </c>
      <c r="T183" s="72">
        <v>0</v>
      </c>
      <c r="U183" s="72">
        <v>0</v>
      </c>
      <c r="V183" s="73">
        <f>SUM(Q183:U183)*'İşçilik Parametreleri'!$B$28/1000</f>
        <v>0.38400000000000001</v>
      </c>
      <c r="W183" s="70">
        <f>SUMIF('Büküm Parçaları'!$A$2:$A$213,A183,'Büküm Parçaları'!$I$2:$I$213)</f>
        <v>6.5549999999999997</v>
      </c>
      <c r="X183" s="70">
        <f>(I183*'İşçilik Parametreleri'!$B$18+IF(L183&gt;'İşçilik Parametreleri'!$B$21,'İşçilik Parametreleri'!$B$20,'İşçilik Parametreleri'!$B$19)+N183*'İşçilik Parametreleri'!$B$22)*'İşçilik Parametreleri'!$B$23</f>
        <v>9.1624999999999996</v>
      </c>
      <c r="Y183" s="70">
        <f>(IF('İşçilik Parametreleri'!$B$27="Resme göre",(Q183*INDEX('İşçilik Parametreleri'!$F$16:$I$20,1,MATCH('İşçilik Parametreleri'!$B$26,{"Manuel","Robot","HTD","Lazer"},0))+R183*INDEX('İşçilik Parametreleri'!$F$16:$I$20,2,MATCH('İşçilik Parametreleri'!$B$26,{"Manuel","Robot","HTD","Lazer"},0))+S183*INDEX('İşçilik Parametreleri'!$F$16:$I$20,3,MATCH('İşçilik Parametreleri'!$B$26,{"Manuel","Robot","HTD","Lazer"},0))+T183*INDEX('İşçilik Parametreleri'!$F$16:$I$20,4,MATCH('İşçilik Parametreleri'!$B$26,{"Manuel","Robot","HTD","Lazer"},0))+U183*INDEX('İşçilik Parametreleri'!$F$16:$I$20,5,MATCH('İşçilik Parametreleri'!$B$26,{"Manuel","Robot","HTD","Lazer"},0))),SUM(Q183:U183)*INDEX('İşçilik Parametreleri'!$F$16:$I$20,MATCH(VALUE('İşçilik Parametreleri'!$B$27),'İşçilik Parametreleri'!$E$16:$E$20,0),MATCH('İşçilik Parametreleri'!$B$26,{"Manuel","Robot","HTD","Lazer"},0)))*'İşçilik Parametreleri'!$B$28/1000+O183*IF(OR('İşçilik Parametreleri'!$B$26="Robot",'İşçilik Parametreleri'!$B$26="HTD"),'İşçilik Parametreleri'!$B$30,'İşçilik Parametreleri'!$B$29))*'İşçilik Parametreleri'!$B$31</f>
        <v>8.911999999999999</v>
      </c>
      <c r="Z183" s="74">
        <f t="shared" si="21"/>
        <v>14.777699999999999</v>
      </c>
      <c r="AA183" s="75" t="s">
        <v>124</v>
      </c>
      <c r="AB183" s="76"/>
      <c r="AC183" s="77">
        <f>IF(AA183="Kataforez",N(AB183),IF(AA183="Yaş boya",'İşçilik Parametreleri'!$B$6/MAX(1,ROUND(IF(ISNUMBER(AB183),AB183,'İşçilik Parametreleri'!$B$7),0)),0))</f>
        <v>0</v>
      </c>
      <c r="AD183" s="78">
        <f>W183/100*'İşçilik Parametreleri'!$B$9+X183/100*'İşçilik Parametreleri'!$B$17+Y183/100*'İşçilik Parametreleri'!$B$25</f>
        <v>4.9258999999999995</v>
      </c>
      <c r="AE183" s="78">
        <f t="shared" si="22"/>
        <v>4.9258999999999995</v>
      </c>
      <c r="AF183" s="75">
        <v>6</v>
      </c>
      <c r="AG183" s="84">
        <f>AD183*AF183+IF(AA183="Kataforez",N(AB183)*AF183,IF(AA183="Yaş boya",ROUNDUP(AF183/MAX(1,ROUND(IF(ISNUMBER(AB183),AB183,'İşçilik Parametreleri'!$B$7),0)),0)*'İşçilik Parametreleri'!$B$6,0))</f>
        <v>29.555399999999999</v>
      </c>
      <c r="AH183" s="70">
        <f t="shared" si="23"/>
        <v>1.4777699999999998</v>
      </c>
    </row>
    <row r="184" spans="1:34" ht="15" customHeight="1" x14ac:dyDescent="0.25">
      <c r="A184" s="82" t="s">
        <v>619</v>
      </c>
      <c r="B184" s="80" t="s">
        <v>23</v>
      </c>
      <c r="C184" s="81" t="s">
        <v>352</v>
      </c>
      <c r="D184" s="68" t="s">
        <v>139</v>
      </c>
      <c r="E184" s="68" t="s">
        <v>130</v>
      </c>
      <c r="F184" s="68">
        <v>2</v>
      </c>
      <c r="G184" s="68">
        <v>2</v>
      </c>
      <c r="H184" s="68">
        <v>2</v>
      </c>
      <c r="I184" s="68">
        <v>2</v>
      </c>
      <c r="J184" s="68">
        <v>0</v>
      </c>
      <c r="K184" s="70">
        <v>2.2280000000000002</v>
      </c>
      <c r="L184" s="70">
        <v>2.4769999999999999</v>
      </c>
      <c r="M184" s="71">
        <f t="shared" si="20"/>
        <v>0.11175942549371617</v>
      </c>
      <c r="N184" s="68">
        <v>2</v>
      </c>
      <c r="O184" s="68">
        <v>2</v>
      </c>
      <c r="P184" s="68">
        <v>0</v>
      </c>
      <c r="Q184" s="72">
        <v>0</v>
      </c>
      <c r="R184" s="72">
        <v>314</v>
      </c>
      <c r="S184" s="72">
        <v>0</v>
      </c>
      <c r="T184" s="72">
        <v>0</v>
      </c>
      <c r="U184" s="72">
        <v>0</v>
      </c>
      <c r="V184" s="73">
        <f>SUM(Q184:U184)*'İşçilik Parametreleri'!$B$28/1000</f>
        <v>0.314</v>
      </c>
      <c r="W184" s="70">
        <f>SUMIF('Büküm Parçaları'!$A$2:$A$213,A184,'Büküm Parçaları'!$I$2:$I$213)</f>
        <v>0</v>
      </c>
      <c r="X184" s="70">
        <f>(I184*'İşçilik Parametreleri'!$B$18+IF(L184&gt;'İşçilik Parametreleri'!$B$21,'İşçilik Parametreleri'!$B$20,'İşçilik Parametreleri'!$B$19)+N184*'İşçilik Parametreleri'!$B$22)*'İşçilik Parametreleri'!$B$23</f>
        <v>9.1624999999999996</v>
      </c>
      <c r="Y184" s="70">
        <f>(IF('İşçilik Parametreleri'!$B$27="Resme göre",(Q184*INDEX('İşçilik Parametreleri'!$F$16:$I$20,1,MATCH('İşçilik Parametreleri'!$B$26,{"Manuel","Robot","HTD","Lazer"},0))+R184*INDEX('İşçilik Parametreleri'!$F$16:$I$20,2,MATCH('İşçilik Parametreleri'!$B$26,{"Manuel","Robot","HTD","Lazer"},0))+S184*INDEX('İşçilik Parametreleri'!$F$16:$I$20,3,MATCH('İşçilik Parametreleri'!$B$26,{"Manuel","Robot","HTD","Lazer"},0))+T184*INDEX('İşçilik Parametreleri'!$F$16:$I$20,4,MATCH('İşçilik Parametreleri'!$B$26,{"Manuel","Robot","HTD","Lazer"},0))+U184*INDEX('İşçilik Parametreleri'!$F$16:$I$20,5,MATCH('İşçilik Parametreleri'!$B$26,{"Manuel","Robot","HTD","Lazer"},0))),SUM(Q184:U184)*INDEX('İşçilik Parametreleri'!$F$16:$I$20,MATCH(VALUE('İşçilik Parametreleri'!$B$27),'İşçilik Parametreleri'!$E$16:$E$20,0),MATCH('İşçilik Parametreleri'!$B$26,{"Manuel","Robot","HTD","Lazer"},0)))*'İşçilik Parametreleri'!$B$28/1000+O184*IF(OR('İşçilik Parametreleri'!$B$26="Robot",'İşçilik Parametreleri'!$B$26="HTD"),'İşçilik Parametreleri'!$B$30,'İşçilik Parametreleri'!$B$29))*'İşçilik Parametreleri'!$B$31</f>
        <v>5.4540000000000006</v>
      </c>
      <c r="Z184" s="74">
        <f t="shared" si="21"/>
        <v>8.7698999999999998</v>
      </c>
      <c r="AA184" s="75" t="s">
        <v>124</v>
      </c>
      <c r="AB184" s="76"/>
      <c r="AC184" s="77">
        <f>IF(AA184="Kataforez",N(AB184),IF(AA184="Yaş boya",'İşçilik Parametreleri'!$B$6/MAX(1,ROUND(IF(ISNUMBER(AB184),AB184,'İşçilik Parametreleri'!$B$7),0)),0))</f>
        <v>0</v>
      </c>
      <c r="AD184" s="78">
        <f>W184/100*'İşçilik Parametreleri'!$B$9+X184/100*'İşçilik Parametreleri'!$B$17+Y184/100*'İşçilik Parametreleri'!$B$25</f>
        <v>2.9233000000000002</v>
      </c>
      <c r="AE184" s="78">
        <f t="shared" si="22"/>
        <v>2.9233000000000002</v>
      </c>
      <c r="AF184" s="75">
        <v>10</v>
      </c>
      <c r="AG184" s="84">
        <f>AD184*AF184+IF(AA184="Kataforez",N(AB184)*AF184,IF(AA184="Yaş boya",ROUNDUP(AF184/MAX(1,ROUND(IF(ISNUMBER(AB184),AB184,'İşçilik Parametreleri'!$B$7),0)),0)*'İşçilik Parametreleri'!$B$6,0))</f>
        <v>29.233000000000004</v>
      </c>
      <c r="AH184" s="70">
        <f t="shared" si="23"/>
        <v>1.4616499999999999</v>
      </c>
    </row>
    <row r="185" spans="1:34" ht="15" customHeight="1" x14ac:dyDescent="0.25">
      <c r="A185" s="82" t="s">
        <v>620</v>
      </c>
      <c r="B185" s="80" t="s">
        <v>23</v>
      </c>
      <c r="C185" s="81" t="s">
        <v>354</v>
      </c>
      <c r="D185" s="68" t="s">
        <v>139</v>
      </c>
      <c r="E185" s="68" t="s">
        <v>130</v>
      </c>
      <c r="F185" s="68">
        <v>1</v>
      </c>
      <c r="G185" s="68">
        <v>3</v>
      </c>
      <c r="H185" s="68">
        <v>2</v>
      </c>
      <c r="I185" s="68">
        <v>2</v>
      </c>
      <c r="J185" s="68">
        <v>0</v>
      </c>
      <c r="K185" s="70">
        <v>6.7590000000000003</v>
      </c>
      <c r="L185" s="70">
        <v>6.7590000000000003</v>
      </c>
      <c r="M185" s="71">
        <f t="shared" si="20"/>
        <v>0</v>
      </c>
      <c r="N185" s="68">
        <v>1</v>
      </c>
      <c r="O185" s="68">
        <v>1</v>
      </c>
      <c r="P185" s="68">
        <v>0</v>
      </c>
      <c r="Q185" s="72">
        <v>480</v>
      </c>
      <c r="R185" s="72">
        <v>0</v>
      </c>
      <c r="S185" s="72">
        <v>0</v>
      </c>
      <c r="T185" s="72">
        <v>0</v>
      </c>
      <c r="U185" s="72">
        <v>0</v>
      </c>
      <c r="V185" s="73">
        <f>SUM(Q185:U185)*'İşçilik Parametreleri'!$B$28/1000</f>
        <v>0.48</v>
      </c>
      <c r="W185" s="70">
        <f>SUMIF('Büküm Parçaları'!$A$2:$A$213,A185,'Büküm Parçaları'!$I$2:$I$213)</f>
        <v>0</v>
      </c>
      <c r="X185" s="70">
        <f>(I185*'İşçilik Parametreleri'!$B$18+IF(L185&gt;'İşçilik Parametreleri'!$B$21,'İşçilik Parametreleri'!$B$20,'İşçilik Parametreleri'!$B$19)+N185*'İşçilik Parametreleri'!$B$22)*'İşçilik Parametreleri'!$B$23</f>
        <v>7.9124999999999996</v>
      </c>
      <c r="Y185" s="70">
        <f>(IF('İşçilik Parametreleri'!$B$27="Resme göre",(Q185*INDEX('İşçilik Parametreleri'!$F$16:$I$20,1,MATCH('İşçilik Parametreleri'!$B$26,{"Manuel","Robot","HTD","Lazer"},0))+R185*INDEX('İşçilik Parametreleri'!$F$16:$I$20,2,MATCH('İşçilik Parametreleri'!$B$26,{"Manuel","Robot","HTD","Lazer"},0))+S185*INDEX('İşçilik Parametreleri'!$F$16:$I$20,3,MATCH('İşçilik Parametreleri'!$B$26,{"Manuel","Robot","HTD","Lazer"},0))+T185*INDEX('İşçilik Parametreleri'!$F$16:$I$20,4,MATCH('İşçilik Parametreleri'!$B$26,{"Manuel","Robot","HTD","Lazer"},0))+U185*INDEX('İşçilik Parametreleri'!$F$16:$I$20,5,MATCH('İşçilik Parametreleri'!$B$26,{"Manuel","Robot","HTD","Lazer"},0))),SUM(Q185:U185)*INDEX('İşçilik Parametreleri'!$F$16:$I$20,MATCH(VALUE('İşçilik Parametreleri'!$B$27),'İşçilik Parametreleri'!$E$16:$E$20,0),MATCH('İşçilik Parametreleri'!$B$26,{"Manuel","Robot","HTD","Lazer"},0)))*'İşçilik Parametreleri'!$B$28/1000+O185*IF(OR('İşçilik Parametreleri'!$B$26="Robot",'İşçilik Parametreleri'!$B$26="HTD"),'İşçilik Parametreleri'!$B$30,'İşçilik Parametreleri'!$B$29))*'İşçilik Parametreleri'!$B$31</f>
        <v>4.3599999999999994</v>
      </c>
      <c r="Z185" s="74">
        <f t="shared" si="21"/>
        <v>7.3634999999999993</v>
      </c>
      <c r="AA185" s="75" t="s">
        <v>124</v>
      </c>
      <c r="AB185" s="76"/>
      <c r="AC185" s="77">
        <f>IF(AA185="Kataforez",N(AB185),IF(AA185="Yaş boya",'İşçilik Parametreleri'!$B$6/MAX(1,ROUND(IF(ISNUMBER(AB185),AB185,'İşçilik Parametreleri'!$B$7),0)),0))</f>
        <v>0</v>
      </c>
      <c r="AD185" s="78">
        <f>W185/100*'İşçilik Parametreleri'!$B$9+X185/100*'İşçilik Parametreleri'!$B$17+Y185/100*'İşçilik Parametreleri'!$B$25</f>
        <v>2.4544999999999999</v>
      </c>
      <c r="AE185" s="78">
        <f t="shared" si="22"/>
        <v>2.4544999999999999</v>
      </c>
      <c r="AF185" s="75">
        <v>10</v>
      </c>
      <c r="AG185" s="84">
        <f>AD185*AF185+IF(AA185="Kataforez",N(AB185)*AF185,IF(AA185="Yaş boya",ROUNDUP(AF185/MAX(1,ROUND(IF(ISNUMBER(AB185),AB185,'İşçilik Parametreleri'!$B$7),0)),0)*'İşçilik Parametreleri'!$B$6,0))</f>
        <v>24.544999999999998</v>
      </c>
      <c r="AH185" s="70">
        <f t="shared" si="23"/>
        <v>1.22725</v>
      </c>
    </row>
    <row r="186" spans="1:34" ht="15" customHeight="1" x14ac:dyDescent="0.25">
      <c r="A186" s="82" t="s">
        <v>621</v>
      </c>
      <c r="B186" s="80" t="s">
        <v>23</v>
      </c>
      <c r="C186" s="81" t="s">
        <v>356</v>
      </c>
      <c r="D186" s="68" t="s">
        <v>139</v>
      </c>
      <c r="E186" s="68" t="s">
        <v>130</v>
      </c>
      <c r="F186" s="68">
        <v>1</v>
      </c>
      <c r="G186" s="68">
        <v>2</v>
      </c>
      <c r="H186" s="68">
        <v>2</v>
      </c>
      <c r="I186" s="68">
        <v>2</v>
      </c>
      <c r="J186" s="68">
        <v>1</v>
      </c>
      <c r="K186" s="70">
        <v>3.6739999999999999</v>
      </c>
      <c r="L186" s="70">
        <v>3.6419999999999999</v>
      </c>
      <c r="M186" s="71">
        <f t="shared" si="20"/>
        <v>-8.7098530212302745E-3</v>
      </c>
      <c r="N186" s="68">
        <v>3</v>
      </c>
      <c r="O186" s="68">
        <v>3</v>
      </c>
      <c r="P186" s="68">
        <v>0</v>
      </c>
      <c r="Q186" s="72">
        <v>519</v>
      </c>
      <c r="R186" s="72">
        <v>0</v>
      </c>
      <c r="S186" s="72">
        <v>0</v>
      </c>
      <c r="T186" s="72">
        <v>0</v>
      </c>
      <c r="U186" s="72">
        <v>0</v>
      </c>
      <c r="V186" s="73">
        <f>SUM(Q186:U186)*'İşçilik Parametreleri'!$B$28/1000</f>
        <v>0.51900000000000002</v>
      </c>
      <c r="W186" s="70">
        <f>SUMIF('Büküm Parçaları'!$A$2:$A$213,A186,'Büküm Parçaları'!$I$2:$I$213)</f>
        <v>5.4049999999999994</v>
      </c>
      <c r="X186" s="70">
        <f>(I186*'İşçilik Parametreleri'!$B$18+IF(L186&gt;'İşçilik Parametreleri'!$B$21,'İşçilik Parametreleri'!$B$20,'İşçilik Parametreleri'!$B$19)+N186*'İşçilik Parametreleri'!$B$22)*'İşçilik Parametreleri'!$B$23</f>
        <v>10.4125</v>
      </c>
      <c r="Y186" s="70">
        <f>(IF('İşçilik Parametreleri'!$B$27="Resme göre",(Q186*INDEX('İşçilik Parametreleri'!$F$16:$I$20,1,MATCH('İşçilik Parametreleri'!$B$26,{"Manuel","Robot","HTD","Lazer"},0))+R186*INDEX('İşçilik Parametreleri'!$F$16:$I$20,2,MATCH('İşçilik Parametreleri'!$B$26,{"Manuel","Robot","HTD","Lazer"},0))+S186*INDEX('İşçilik Parametreleri'!$F$16:$I$20,3,MATCH('İşçilik Parametreleri'!$B$26,{"Manuel","Robot","HTD","Lazer"},0))+T186*INDEX('İşçilik Parametreleri'!$F$16:$I$20,4,MATCH('İşçilik Parametreleri'!$B$26,{"Manuel","Robot","HTD","Lazer"},0))+U186*INDEX('İşçilik Parametreleri'!$F$16:$I$20,5,MATCH('İşçilik Parametreleri'!$B$26,{"Manuel","Robot","HTD","Lazer"},0))),SUM(Q186:U186)*INDEX('İşçilik Parametreleri'!$F$16:$I$20,MATCH(VALUE('İşçilik Parametreleri'!$B$27),'İşçilik Parametreleri'!$E$16:$E$20,0),MATCH('İşçilik Parametreleri'!$B$26,{"Manuel","Robot","HTD","Lazer"},0)))*'İşçilik Parametreleri'!$B$28/1000+O186*IF(OR('İşçilik Parametreleri'!$B$26="Robot",'İşçilik Parametreleri'!$B$26="HTD"),'İşçilik Parametreleri'!$B$30,'İşçilik Parametreleri'!$B$29))*'İşçilik Parametreleri'!$B$31</f>
        <v>6.633</v>
      </c>
      <c r="Z186" s="74">
        <f t="shared" si="21"/>
        <v>13.470299999999998</v>
      </c>
      <c r="AA186" s="75" t="s">
        <v>124</v>
      </c>
      <c r="AB186" s="76"/>
      <c r="AC186" s="77">
        <f>IF(AA186="Kataforez",N(AB186),IF(AA186="Yaş boya",'İşçilik Parametreleri'!$B$6/MAX(1,ROUND(IF(ISNUMBER(AB186),AB186,'İşçilik Parametreleri'!$B$7),0)),0))</f>
        <v>0</v>
      </c>
      <c r="AD186" s="78">
        <f>W186/100*'İşçilik Parametreleri'!$B$9+X186/100*'İşçilik Parametreleri'!$B$17+Y186/100*'İşçilik Parametreleri'!$B$25</f>
        <v>4.4901</v>
      </c>
      <c r="AE186" s="78">
        <f t="shared" si="22"/>
        <v>4.4901</v>
      </c>
      <c r="AF186" s="75">
        <v>5</v>
      </c>
      <c r="AG186" s="84">
        <f>AD186*AF186+IF(AA186="Kataforez",N(AB186)*AF186,IF(AA186="Yaş boya",ROUNDUP(AF186/MAX(1,ROUND(IF(ISNUMBER(AB186),AB186,'İşçilik Parametreleri'!$B$7),0)),0)*'İşçilik Parametreleri'!$B$6,0))</f>
        <v>22.450499999999998</v>
      </c>
      <c r="AH186" s="70">
        <f t="shared" si="23"/>
        <v>1.122525</v>
      </c>
    </row>
    <row r="187" spans="1:34" ht="15" customHeight="1" x14ac:dyDescent="0.25">
      <c r="A187" s="82" t="s">
        <v>622</v>
      </c>
      <c r="B187" s="80" t="s">
        <v>23</v>
      </c>
      <c r="C187" s="81" t="s">
        <v>357</v>
      </c>
      <c r="D187" s="68" t="s">
        <v>139</v>
      </c>
      <c r="E187" s="68" t="s">
        <v>130</v>
      </c>
      <c r="F187" s="68">
        <v>1</v>
      </c>
      <c r="G187" s="68">
        <v>2</v>
      </c>
      <c r="H187" s="68">
        <v>2</v>
      </c>
      <c r="I187" s="68">
        <v>2</v>
      </c>
      <c r="J187" s="68">
        <v>1</v>
      </c>
      <c r="K187" s="70">
        <v>3.6739999999999999</v>
      </c>
      <c r="L187" s="70">
        <v>3.6419999999999999</v>
      </c>
      <c r="M187" s="71">
        <f t="shared" si="20"/>
        <v>-8.7098530212302745E-3</v>
      </c>
      <c r="N187" s="68">
        <v>3</v>
      </c>
      <c r="O187" s="68">
        <v>3</v>
      </c>
      <c r="P187" s="68">
        <v>0</v>
      </c>
      <c r="Q187" s="72">
        <v>519</v>
      </c>
      <c r="R187" s="72">
        <v>0</v>
      </c>
      <c r="S187" s="72">
        <v>0</v>
      </c>
      <c r="T187" s="72">
        <v>0</v>
      </c>
      <c r="U187" s="72">
        <v>0</v>
      </c>
      <c r="V187" s="73">
        <f>SUM(Q187:U187)*'İşçilik Parametreleri'!$B$28/1000</f>
        <v>0.51900000000000002</v>
      </c>
      <c r="W187" s="70">
        <f>SUMIF('Büküm Parçaları'!$A$2:$A$213,A187,'Büküm Parçaları'!$I$2:$I$213)</f>
        <v>5.4049999999999994</v>
      </c>
      <c r="X187" s="70">
        <f>(I187*'İşçilik Parametreleri'!$B$18+IF(L187&gt;'İşçilik Parametreleri'!$B$21,'İşçilik Parametreleri'!$B$20,'İşçilik Parametreleri'!$B$19)+N187*'İşçilik Parametreleri'!$B$22)*'İşçilik Parametreleri'!$B$23</f>
        <v>10.4125</v>
      </c>
      <c r="Y187" s="70">
        <f>(IF('İşçilik Parametreleri'!$B$27="Resme göre",(Q187*INDEX('İşçilik Parametreleri'!$F$16:$I$20,1,MATCH('İşçilik Parametreleri'!$B$26,{"Manuel","Robot","HTD","Lazer"},0))+R187*INDEX('İşçilik Parametreleri'!$F$16:$I$20,2,MATCH('İşçilik Parametreleri'!$B$26,{"Manuel","Robot","HTD","Lazer"},0))+S187*INDEX('İşçilik Parametreleri'!$F$16:$I$20,3,MATCH('İşçilik Parametreleri'!$B$26,{"Manuel","Robot","HTD","Lazer"},0))+T187*INDEX('İşçilik Parametreleri'!$F$16:$I$20,4,MATCH('İşçilik Parametreleri'!$B$26,{"Manuel","Robot","HTD","Lazer"},0))+U187*INDEX('İşçilik Parametreleri'!$F$16:$I$20,5,MATCH('İşçilik Parametreleri'!$B$26,{"Manuel","Robot","HTD","Lazer"},0))),SUM(Q187:U187)*INDEX('İşçilik Parametreleri'!$F$16:$I$20,MATCH(VALUE('İşçilik Parametreleri'!$B$27),'İşçilik Parametreleri'!$E$16:$E$20,0),MATCH('İşçilik Parametreleri'!$B$26,{"Manuel","Robot","HTD","Lazer"},0)))*'İşçilik Parametreleri'!$B$28/1000+O187*IF(OR('İşçilik Parametreleri'!$B$26="Robot",'İşçilik Parametreleri'!$B$26="HTD"),'İşçilik Parametreleri'!$B$30,'İşçilik Parametreleri'!$B$29))*'İşçilik Parametreleri'!$B$31</f>
        <v>6.633</v>
      </c>
      <c r="Z187" s="74">
        <f t="shared" si="21"/>
        <v>13.470299999999998</v>
      </c>
      <c r="AA187" s="75" t="s">
        <v>124</v>
      </c>
      <c r="AB187" s="76"/>
      <c r="AC187" s="77">
        <f>IF(AA187="Kataforez",N(AB187),IF(AA187="Yaş boya",'İşçilik Parametreleri'!$B$6/MAX(1,ROUND(IF(ISNUMBER(AB187),AB187,'İşçilik Parametreleri'!$B$7),0)),0))</f>
        <v>0</v>
      </c>
      <c r="AD187" s="78">
        <f>W187/100*'İşçilik Parametreleri'!$B$9+X187/100*'İşçilik Parametreleri'!$B$17+Y187/100*'İşçilik Parametreleri'!$B$25</f>
        <v>4.4901</v>
      </c>
      <c r="AE187" s="78">
        <f t="shared" si="22"/>
        <v>4.4901</v>
      </c>
      <c r="AF187" s="75">
        <v>5</v>
      </c>
      <c r="AG187" s="84">
        <f>AD187*AF187+IF(AA187="Kataforez",N(AB187)*AF187,IF(AA187="Yaş boya",ROUNDUP(AF187/MAX(1,ROUND(IF(ISNUMBER(AB187),AB187,'İşçilik Parametreleri'!$B$7),0)),0)*'İşçilik Parametreleri'!$B$6,0))</f>
        <v>22.450499999999998</v>
      </c>
      <c r="AH187" s="70">
        <f t="shared" si="23"/>
        <v>1.122525</v>
      </c>
    </row>
    <row r="188" spans="1:34" ht="15" customHeight="1" x14ac:dyDescent="0.25">
      <c r="A188" s="82" t="s">
        <v>623</v>
      </c>
      <c r="B188" s="80" t="s">
        <v>23</v>
      </c>
      <c r="C188" s="81" t="s">
        <v>358</v>
      </c>
      <c r="D188" s="68" t="s">
        <v>107</v>
      </c>
      <c r="E188" s="68" t="s">
        <v>130</v>
      </c>
      <c r="F188" s="68">
        <v>1</v>
      </c>
      <c r="G188" s="68">
        <v>2</v>
      </c>
      <c r="H188" s="68">
        <v>2</v>
      </c>
      <c r="I188" s="68">
        <v>2</v>
      </c>
      <c r="J188" s="68">
        <v>2</v>
      </c>
      <c r="K188" s="70">
        <v>2.855</v>
      </c>
      <c r="L188" s="70">
        <v>2.855</v>
      </c>
      <c r="M188" s="71">
        <f t="shared" si="20"/>
        <v>0</v>
      </c>
      <c r="N188" s="68">
        <v>2</v>
      </c>
      <c r="O188" s="68">
        <v>2</v>
      </c>
      <c r="P188" s="68">
        <v>0</v>
      </c>
      <c r="Q188" s="72">
        <v>0</v>
      </c>
      <c r="R188" s="72">
        <v>250</v>
      </c>
      <c r="S188" s="72">
        <v>0</v>
      </c>
      <c r="T188" s="72">
        <v>0</v>
      </c>
      <c r="U188" s="72">
        <v>0</v>
      </c>
      <c r="V188" s="73">
        <f>SUM(Q188:U188)*'İşçilik Parametreleri'!$B$28/1000</f>
        <v>0.25</v>
      </c>
      <c r="W188" s="70">
        <f>SUMIF('Büküm Parçaları'!$A$2:$A$213,A188,'Büküm Parçaları'!$I$2:$I$213)</f>
        <v>6.5549999999999997</v>
      </c>
      <c r="X188" s="70">
        <f>(I188*'İşçilik Parametreleri'!$B$18+IF(L188&gt;'İşçilik Parametreleri'!$B$21,'İşçilik Parametreleri'!$B$20,'İşçilik Parametreleri'!$B$19)+N188*'İşçilik Parametreleri'!$B$22)*'İşçilik Parametreleri'!$B$23</f>
        <v>9.1624999999999996</v>
      </c>
      <c r="Y188" s="70">
        <f>(IF('İşçilik Parametreleri'!$B$27="Resme göre",(Q188*INDEX('İşçilik Parametreleri'!$F$16:$I$20,1,MATCH('İşçilik Parametreleri'!$B$26,{"Manuel","Robot","HTD","Lazer"},0))+R188*INDEX('İşçilik Parametreleri'!$F$16:$I$20,2,MATCH('İşçilik Parametreleri'!$B$26,{"Manuel","Robot","HTD","Lazer"},0))+S188*INDEX('İşçilik Parametreleri'!$F$16:$I$20,3,MATCH('İşçilik Parametreleri'!$B$26,{"Manuel","Robot","HTD","Lazer"},0))+T188*INDEX('İşçilik Parametreleri'!$F$16:$I$20,4,MATCH('İşçilik Parametreleri'!$B$26,{"Manuel","Robot","HTD","Lazer"},0))+U188*INDEX('İşçilik Parametreleri'!$F$16:$I$20,5,MATCH('İşçilik Parametreleri'!$B$26,{"Manuel","Robot","HTD","Lazer"},0))),SUM(Q188:U188)*INDEX('İşçilik Parametreleri'!$F$16:$I$20,MATCH(VALUE('İşçilik Parametreleri'!$B$27),'İşçilik Parametreleri'!$E$16:$E$20,0),MATCH('İşçilik Parametreleri'!$B$26,{"Manuel","Robot","HTD","Lazer"},0)))*'İşçilik Parametreleri'!$B$28/1000+O188*IF(OR('İşçilik Parametreleri'!$B$26="Robot",'İşçilik Parametreleri'!$B$26="HTD"),'İşçilik Parametreleri'!$B$30,'İşçilik Parametreleri'!$B$29))*'İşçilik Parametreleri'!$B$31</f>
        <v>4.75</v>
      </c>
      <c r="Z188" s="74">
        <f t="shared" si="21"/>
        <v>12.2805</v>
      </c>
      <c r="AA188" s="75" t="s">
        <v>124</v>
      </c>
      <c r="AB188" s="76"/>
      <c r="AC188" s="77">
        <f>IF(AA188="Kataforez",N(AB188),IF(AA188="Yaş boya",'İşçilik Parametreleri'!$B$6/MAX(1,ROUND(IF(ISNUMBER(AB188),AB188,'İşçilik Parametreleri'!$B$7),0)),0))</f>
        <v>0</v>
      </c>
      <c r="AD188" s="78">
        <f>W188/100*'İşçilik Parametreleri'!$B$9+X188/100*'İşçilik Parametreleri'!$B$17+Y188/100*'İşçilik Parametreleri'!$B$25</f>
        <v>4.0934999999999997</v>
      </c>
      <c r="AE188" s="78">
        <f t="shared" si="22"/>
        <v>4.0934999999999997</v>
      </c>
      <c r="AF188" s="75">
        <v>5</v>
      </c>
      <c r="AG188" s="84">
        <f>AD188*AF188+IF(AA188="Kataforez",N(AB188)*AF188,IF(AA188="Yaş boya",ROUNDUP(AF188/MAX(1,ROUND(IF(ISNUMBER(AB188),AB188,'İşçilik Parametreleri'!$B$7),0)),0)*'İşçilik Parametreleri'!$B$6,0))</f>
        <v>20.467499999999998</v>
      </c>
      <c r="AH188" s="70">
        <f t="shared" si="23"/>
        <v>1.0233750000000001</v>
      </c>
    </row>
    <row r="189" spans="1:34" ht="15" customHeight="1" x14ac:dyDescent="0.25">
      <c r="A189" s="82" t="s">
        <v>624</v>
      </c>
      <c r="B189" s="80" t="s">
        <v>23</v>
      </c>
      <c r="C189" s="81" t="s">
        <v>339</v>
      </c>
      <c r="D189" s="68" t="s">
        <v>99</v>
      </c>
      <c r="E189" s="68" t="s">
        <v>130</v>
      </c>
      <c r="F189" s="68">
        <v>1</v>
      </c>
      <c r="G189" s="68">
        <v>3</v>
      </c>
      <c r="H189" s="68">
        <v>3</v>
      </c>
      <c r="I189" s="68">
        <v>3</v>
      </c>
      <c r="J189" s="68">
        <v>2</v>
      </c>
      <c r="K189" s="70">
        <v>1.7010000000000001</v>
      </c>
      <c r="L189" s="70">
        <v>1.7010000000000001</v>
      </c>
      <c r="M189" s="71">
        <f t="shared" si="20"/>
        <v>0</v>
      </c>
      <c r="N189" s="68">
        <v>2</v>
      </c>
      <c r="O189" s="68">
        <v>2</v>
      </c>
      <c r="P189" s="68">
        <v>0</v>
      </c>
      <c r="Q189" s="72">
        <v>160</v>
      </c>
      <c r="R189" s="72">
        <v>0</v>
      </c>
      <c r="S189" s="72">
        <v>0</v>
      </c>
      <c r="T189" s="72">
        <v>0</v>
      </c>
      <c r="U189" s="72">
        <v>0</v>
      </c>
      <c r="V189" s="73">
        <f>SUM(Q189:U189)*'İşçilik Parametreleri'!$B$28/1000</f>
        <v>0.16</v>
      </c>
      <c r="W189" s="70">
        <f>SUMIF('Büküm Parçaları'!$A$2:$A$213,A189,'Büküm Parçaları'!$I$2:$I$213)</f>
        <v>6.5549999999999997</v>
      </c>
      <c r="X189" s="70">
        <f>(I189*'İşçilik Parametreleri'!$B$18+IF(L189&gt;'İşçilik Parametreleri'!$B$21,'İşçilik Parametreleri'!$B$20,'İşçilik Parametreleri'!$B$19)+N189*'İşçilik Parametreleri'!$B$22)*'İşçilik Parametreleri'!$B$23</f>
        <v>10.4125</v>
      </c>
      <c r="Y189" s="70">
        <f>(IF('İşçilik Parametreleri'!$B$27="Resme göre",(Q189*INDEX('İşçilik Parametreleri'!$F$16:$I$20,1,MATCH('İşçilik Parametreleri'!$B$26,{"Manuel","Robot","HTD","Lazer"},0))+R189*INDEX('İşçilik Parametreleri'!$F$16:$I$20,2,MATCH('İşçilik Parametreleri'!$B$26,{"Manuel","Robot","HTD","Lazer"},0))+S189*INDEX('İşçilik Parametreleri'!$F$16:$I$20,3,MATCH('İşçilik Parametreleri'!$B$26,{"Manuel","Robot","HTD","Lazer"},0))+T189*INDEX('İşçilik Parametreleri'!$F$16:$I$20,4,MATCH('İşçilik Parametreleri'!$B$26,{"Manuel","Robot","HTD","Lazer"},0))+U189*INDEX('İşçilik Parametreleri'!$F$16:$I$20,5,MATCH('İşçilik Parametreleri'!$B$26,{"Manuel","Robot","HTD","Lazer"},0))),SUM(Q189:U189)*INDEX('İşçilik Parametreleri'!$F$16:$I$20,MATCH(VALUE('İşçilik Parametreleri'!$B$27),'İşçilik Parametreleri'!$E$16:$E$20,0),MATCH('İşçilik Parametreleri'!$B$26,{"Manuel","Robot","HTD","Lazer"},0)))*'İşçilik Parametreleri'!$B$28/1000+O189*IF(OR('İşçilik Parametreleri'!$B$26="Robot",'İşçilik Parametreleri'!$B$26="HTD"),'İşçilik Parametreleri'!$B$30,'İşçilik Parametreleri'!$B$29))*'İşçilik Parametreleri'!$B$31</f>
        <v>3.12</v>
      </c>
      <c r="Z189" s="74">
        <f t="shared" si="21"/>
        <v>12.0525</v>
      </c>
      <c r="AA189" s="75" t="s">
        <v>124</v>
      </c>
      <c r="AB189" s="76"/>
      <c r="AC189" s="77">
        <f>IF(AA189="Kataforez",N(AB189),IF(AA189="Yaş boya",'İşçilik Parametreleri'!$B$6/MAX(1,ROUND(IF(ISNUMBER(AB189),AB189,'İşçilik Parametreleri'!$B$7),0)),0))</f>
        <v>0</v>
      </c>
      <c r="AD189" s="78">
        <f>W189/100*'İşçilik Parametreleri'!$B$9+X189/100*'İşçilik Parametreleri'!$B$17+Y189/100*'İşçilik Parametreleri'!$B$25</f>
        <v>4.0175000000000001</v>
      </c>
      <c r="AE189" s="78">
        <f t="shared" si="22"/>
        <v>4.0175000000000001</v>
      </c>
      <c r="AF189" s="75">
        <v>5</v>
      </c>
      <c r="AG189" s="84">
        <f>AD189*AF189+IF(AA189="Kataforez",N(AB189)*AF189,IF(AA189="Yaş boya",ROUNDUP(AF189/MAX(1,ROUND(IF(ISNUMBER(AB189),AB189,'İşçilik Parametreleri'!$B$7),0)),0)*'İşçilik Parametreleri'!$B$6,0))</f>
        <v>20.087499999999999</v>
      </c>
      <c r="AH189" s="70">
        <f t="shared" si="23"/>
        <v>1.0043750000000002</v>
      </c>
    </row>
    <row r="190" spans="1:34" ht="15" customHeight="1" x14ac:dyDescent="0.25">
      <c r="A190" s="82" t="s">
        <v>625</v>
      </c>
      <c r="B190" s="68" t="s">
        <v>439</v>
      </c>
      <c r="C190" s="69" t="s">
        <v>359</v>
      </c>
      <c r="D190" s="68" t="s">
        <v>107</v>
      </c>
      <c r="E190" s="68" t="s">
        <v>130</v>
      </c>
      <c r="F190" s="68">
        <v>0</v>
      </c>
      <c r="G190" s="68">
        <v>2</v>
      </c>
      <c r="H190" s="68">
        <v>5</v>
      </c>
      <c r="I190" s="68">
        <v>5</v>
      </c>
      <c r="J190" s="68">
        <v>0</v>
      </c>
      <c r="K190" s="70">
        <v>17.744</v>
      </c>
      <c r="L190" s="70">
        <v>17.797000000000001</v>
      </c>
      <c r="M190" s="71">
        <f t="shared" si="20"/>
        <v>2.9869251577998661E-3</v>
      </c>
      <c r="N190" s="68">
        <v>4</v>
      </c>
      <c r="O190" s="68">
        <v>0</v>
      </c>
      <c r="P190" s="68">
        <v>4</v>
      </c>
      <c r="Q190" s="72">
        <v>0</v>
      </c>
      <c r="R190" s="72">
        <v>0</v>
      </c>
      <c r="S190" s="72">
        <v>0</v>
      </c>
      <c r="T190" s="72">
        <v>0</v>
      </c>
      <c r="U190" s="72">
        <v>0</v>
      </c>
      <c r="V190" s="73">
        <f>SUM(Q190:U190)*'İşçilik Parametreleri'!$B$28/1000</f>
        <v>0</v>
      </c>
      <c r="W190" s="70">
        <f>SUMIF('Büküm Parçaları'!$A$2:$A$213,A190,'Büküm Parçaları'!$I$2:$I$213)</f>
        <v>0</v>
      </c>
      <c r="X190" s="70">
        <f>(I190*'İşçilik Parametreleri'!$B$18+IF(L190&gt;'İşçilik Parametreleri'!$B$21,'İşçilik Parametreleri'!$B$20,'İşçilik Parametreleri'!$B$19)+N190*'İşçilik Parametreleri'!$B$22)*'İşçilik Parametreleri'!$B$23</f>
        <v>15.4125</v>
      </c>
      <c r="Y190" s="70">
        <f>(IF('İşçilik Parametreleri'!$B$27="Resme göre",(Q190*INDEX('İşçilik Parametreleri'!$F$16:$I$20,1,MATCH('İşçilik Parametreleri'!$B$26,{"Manuel","Robot","HTD","Lazer"},0))+R190*INDEX('İşçilik Parametreleri'!$F$16:$I$20,2,MATCH('İşçilik Parametreleri'!$B$26,{"Manuel","Robot","HTD","Lazer"},0))+S190*INDEX('İşçilik Parametreleri'!$F$16:$I$20,3,MATCH('İşçilik Parametreleri'!$B$26,{"Manuel","Robot","HTD","Lazer"},0))+T190*INDEX('İşçilik Parametreleri'!$F$16:$I$20,4,MATCH('İşçilik Parametreleri'!$B$26,{"Manuel","Robot","HTD","Lazer"},0))+U190*INDEX('İşçilik Parametreleri'!$F$16:$I$20,5,MATCH('İşçilik Parametreleri'!$B$26,{"Manuel","Robot","HTD","Lazer"},0))),SUM(Q190:U190)*INDEX('İşçilik Parametreleri'!$F$16:$I$20,MATCH(VALUE('İşçilik Parametreleri'!$B$27),'İşçilik Parametreleri'!$E$16:$E$20,0),MATCH('İşçilik Parametreleri'!$B$26,{"Manuel","Robot","HTD","Lazer"},0)))*'İşçilik Parametreleri'!$B$28/1000+O190*IF(OR('İşçilik Parametreleri'!$B$26="Robot",'İşçilik Parametreleri'!$B$26="HTD"),'İşçilik Parametreleri'!$B$30,'İşçilik Parametreleri'!$B$29))*'İşçilik Parametreleri'!$B$31</f>
        <v>0</v>
      </c>
      <c r="Z190" s="74">
        <f t="shared" si="21"/>
        <v>9.2474999999999987</v>
      </c>
      <c r="AA190" s="75" t="s">
        <v>124</v>
      </c>
      <c r="AB190" s="76"/>
      <c r="AC190" s="77">
        <f>IF(AA190="Kataforez",N(AB190),IF(AA190="Yaş boya",'İşçilik Parametreleri'!$B$6/MAX(1,ROUND(IF(ISNUMBER(AB190),AB190,'İşçilik Parametreleri'!$B$7),0)),0))</f>
        <v>0</v>
      </c>
      <c r="AD190" s="78">
        <f>W190/100*'İşçilik Parametreleri'!$B$9+X190/100*'İşçilik Parametreleri'!$B$17+Y190/100*'İşçilik Parametreleri'!$B$25</f>
        <v>3.0824999999999996</v>
      </c>
      <c r="AE190" s="78">
        <f t="shared" si="22"/>
        <v>3.0824999999999996</v>
      </c>
      <c r="AF190" s="75">
        <v>5</v>
      </c>
      <c r="AG190" s="84">
        <f>AD190*AF190+IF(AA190="Kataforez",N(AB190)*AF190,IF(AA190="Yaş boya",ROUNDUP(AF190/MAX(1,ROUND(IF(ISNUMBER(AB190),AB190,'İşçilik Parametreleri'!$B$7),0)),0)*'İşçilik Parametreleri'!$B$6,0))</f>
        <v>15.412499999999998</v>
      </c>
      <c r="AH190" s="70">
        <f t="shared" si="23"/>
        <v>0.770625</v>
      </c>
    </row>
    <row r="191" spans="1:34" ht="15" customHeight="1" x14ac:dyDescent="0.25">
      <c r="A191" s="82" t="s">
        <v>626</v>
      </c>
      <c r="B191" s="68" t="s">
        <v>439</v>
      </c>
      <c r="C191" s="69" t="s">
        <v>360</v>
      </c>
      <c r="D191" s="68" t="s">
        <v>139</v>
      </c>
      <c r="E191" s="68" t="s">
        <v>130</v>
      </c>
      <c r="F191" s="68">
        <v>0</v>
      </c>
      <c r="G191" s="68">
        <v>2</v>
      </c>
      <c r="H191" s="68">
        <v>5</v>
      </c>
      <c r="I191" s="68">
        <v>5</v>
      </c>
      <c r="J191" s="68">
        <v>0</v>
      </c>
      <c r="K191" s="70">
        <v>13.108000000000001</v>
      </c>
      <c r="L191" s="70">
        <v>14.305</v>
      </c>
      <c r="M191" s="71">
        <f t="shared" si="20"/>
        <v>9.1318278913640458E-2</v>
      </c>
      <c r="N191" s="68">
        <v>4</v>
      </c>
      <c r="O191" s="68">
        <v>0</v>
      </c>
      <c r="P191" s="68">
        <v>4</v>
      </c>
      <c r="Q191" s="72">
        <v>0</v>
      </c>
      <c r="R191" s="72">
        <v>0</v>
      </c>
      <c r="S191" s="72">
        <v>0</v>
      </c>
      <c r="T191" s="72">
        <v>0</v>
      </c>
      <c r="U191" s="72">
        <v>0</v>
      </c>
      <c r="V191" s="73">
        <f>SUM(Q191:U191)*'İşçilik Parametreleri'!$B$28/1000</f>
        <v>0</v>
      </c>
      <c r="W191" s="70">
        <f>SUMIF('Büküm Parçaları'!$A$2:$A$213,A191,'Büküm Parçaları'!$I$2:$I$213)</f>
        <v>0</v>
      </c>
      <c r="X191" s="70">
        <f>(I191*'İşçilik Parametreleri'!$B$18+IF(L191&gt;'İşçilik Parametreleri'!$B$21,'İşçilik Parametreleri'!$B$20,'İşçilik Parametreleri'!$B$19)+N191*'İşçilik Parametreleri'!$B$22)*'İşçilik Parametreleri'!$B$23</f>
        <v>15.4125</v>
      </c>
      <c r="Y191" s="70">
        <f>(IF('İşçilik Parametreleri'!$B$27="Resme göre",(Q191*INDEX('İşçilik Parametreleri'!$F$16:$I$20,1,MATCH('İşçilik Parametreleri'!$B$26,{"Manuel","Robot","HTD","Lazer"},0))+R191*INDEX('İşçilik Parametreleri'!$F$16:$I$20,2,MATCH('İşçilik Parametreleri'!$B$26,{"Manuel","Robot","HTD","Lazer"},0))+S191*INDEX('İşçilik Parametreleri'!$F$16:$I$20,3,MATCH('İşçilik Parametreleri'!$B$26,{"Manuel","Robot","HTD","Lazer"},0))+T191*INDEX('İşçilik Parametreleri'!$F$16:$I$20,4,MATCH('İşçilik Parametreleri'!$B$26,{"Manuel","Robot","HTD","Lazer"},0))+U191*INDEX('İşçilik Parametreleri'!$F$16:$I$20,5,MATCH('İşçilik Parametreleri'!$B$26,{"Manuel","Robot","HTD","Lazer"},0))),SUM(Q191:U191)*INDEX('İşçilik Parametreleri'!$F$16:$I$20,MATCH(VALUE('İşçilik Parametreleri'!$B$27),'İşçilik Parametreleri'!$E$16:$E$20,0),MATCH('İşçilik Parametreleri'!$B$26,{"Manuel","Robot","HTD","Lazer"},0)))*'İşçilik Parametreleri'!$B$28/1000+O191*IF(OR('İşçilik Parametreleri'!$B$26="Robot",'İşçilik Parametreleri'!$B$26="HTD"),'İşçilik Parametreleri'!$B$30,'İşçilik Parametreleri'!$B$29))*'İşçilik Parametreleri'!$B$31</f>
        <v>0</v>
      </c>
      <c r="Z191" s="74">
        <f t="shared" si="21"/>
        <v>9.2474999999999987</v>
      </c>
      <c r="AA191" s="75" t="s">
        <v>124</v>
      </c>
      <c r="AB191" s="76"/>
      <c r="AC191" s="77">
        <f>IF(AA191="Kataforez",N(AB191),IF(AA191="Yaş boya",'İşçilik Parametreleri'!$B$6/MAX(1,ROUND(IF(ISNUMBER(AB191),AB191,'İşçilik Parametreleri'!$B$7),0)),0))</f>
        <v>0</v>
      </c>
      <c r="AD191" s="78">
        <f>W191/100*'İşçilik Parametreleri'!$B$9+X191/100*'İşçilik Parametreleri'!$B$17+Y191/100*'İşçilik Parametreleri'!$B$25</f>
        <v>3.0824999999999996</v>
      </c>
      <c r="AE191" s="78">
        <f t="shared" si="22"/>
        <v>3.0824999999999996</v>
      </c>
      <c r="AF191" s="75">
        <v>5</v>
      </c>
      <c r="AG191" s="84">
        <f>AD191*AF191+IF(AA191="Kataforez",N(AB191)*AF191,IF(AA191="Yaş boya",ROUNDUP(AF191/MAX(1,ROUND(IF(ISNUMBER(AB191),AB191,'İşçilik Parametreleri'!$B$7),0)),0)*'İşçilik Parametreleri'!$B$6,0))</f>
        <v>15.412499999999998</v>
      </c>
      <c r="AH191" s="70">
        <f t="shared" si="23"/>
        <v>0.770625</v>
      </c>
    </row>
    <row r="192" spans="1:34" ht="15" customHeight="1" x14ac:dyDescent="0.25">
      <c r="A192" s="82" t="s">
        <v>627</v>
      </c>
      <c r="B192" s="68" t="s">
        <v>439</v>
      </c>
      <c r="C192" s="69" t="s">
        <v>361</v>
      </c>
      <c r="D192" s="68" t="s">
        <v>99</v>
      </c>
      <c r="E192" s="68" t="s">
        <v>130</v>
      </c>
      <c r="F192" s="68">
        <v>2</v>
      </c>
      <c r="G192" s="68">
        <v>2</v>
      </c>
      <c r="H192" s="68">
        <v>5</v>
      </c>
      <c r="I192" s="68">
        <v>5</v>
      </c>
      <c r="J192" s="68">
        <v>0</v>
      </c>
      <c r="K192" s="70">
        <v>13.108000000000001</v>
      </c>
      <c r="L192" s="70">
        <v>12.794</v>
      </c>
      <c r="M192" s="71">
        <f t="shared" si="20"/>
        <v>-2.3954836740921578E-2</v>
      </c>
      <c r="N192" s="68">
        <v>4</v>
      </c>
      <c r="O192" s="68">
        <v>0</v>
      </c>
      <c r="P192" s="68">
        <v>4</v>
      </c>
      <c r="Q192" s="72">
        <v>0</v>
      </c>
      <c r="R192" s="72">
        <v>0</v>
      </c>
      <c r="S192" s="72">
        <v>0</v>
      </c>
      <c r="T192" s="72">
        <v>0</v>
      </c>
      <c r="U192" s="72">
        <v>0</v>
      </c>
      <c r="V192" s="73">
        <f>SUM(Q192:U192)*'İşçilik Parametreleri'!$B$28/1000</f>
        <v>0</v>
      </c>
      <c r="W192" s="70">
        <f>SUMIF('Büküm Parçaları'!$A$2:$A$213,A192,'Büküm Parçaları'!$I$2:$I$213)</f>
        <v>0</v>
      </c>
      <c r="X192" s="70">
        <f>(I192*'İşçilik Parametreleri'!$B$18+IF(L192&gt;'İşçilik Parametreleri'!$B$21,'İşçilik Parametreleri'!$B$20,'İşçilik Parametreleri'!$B$19)+N192*'İşçilik Parametreleri'!$B$22)*'İşçilik Parametreleri'!$B$23</f>
        <v>15.4125</v>
      </c>
      <c r="Y192" s="70">
        <f>(IF('İşçilik Parametreleri'!$B$27="Resme göre",(Q192*INDEX('İşçilik Parametreleri'!$F$16:$I$20,1,MATCH('İşçilik Parametreleri'!$B$26,{"Manuel","Robot","HTD","Lazer"},0))+R192*INDEX('İşçilik Parametreleri'!$F$16:$I$20,2,MATCH('İşçilik Parametreleri'!$B$26,{"Manuel","Robot","HTD","Lazer"},0))+S192*INDEX('İşçilik Parametreleri'!$F$16:$I$20,3,MATCH('İşçilik Parametreleri'!$B$26,{"Manuel","Robot","HTD","Lazer"},0))+T192*INDEX('İşçilik Parametreleri'!$F$16:$I$20,4,MATCH('İşçilik Parametreleri'!$B$26,{"Manuel","Robot","HTD","Lazer"},0))+U192*INDEX('İşçilik Parametreleri'!$F$16:$I$20,5,MATCH('İşçilik Parametreleri'!$B$26,{"Manuel","Robot","HTD","Lazer"},0))),SUM(Q192:U192)*INDEX('İşçilik Parametreleri'!$F$16:$I$20,MATCH(VALUE('İşçilik Parametreleri'!$B$27),'İşçilik Parametreleri'!$E$16:$E$20,0),MATCH('İşçilik Parametreleri'!$B$26,{"Manuel","Robot","HTD","Lazer"},0)))*'İşçilik Parametreleri'!$B$28/1000+O192*IF(OR('İşçilik Parametreleri'!$B$26="Robot",'İşçilik Parametreleri'!$B$26="HTD"),'İşçilik Parametreleri'!$B$30,'İşçilik Parametreleri'!$B$29))*'İşçilik Parametreleri'!$B$31</f>
        <v>0</v>
      </c>
      <c r="Z192" s="74">
        <f t="shared" si="21"/>
        <v>9.2474999999999987</v>
      </c>
      <c r="AA192" s="75" t="s">
        <v>124</v>
      </c>
      <c r="AB192" s="76"/>
      <c r="AC192" s="77">
        <f>IF(AA192="Kataforez",N(AB192),IF(AA192="Yaş boya",'İşçilik Parametreleri'!$B$6/MAX(1,ROUND(IF(ISNUMBER(AB192),AB192,'İşçilik Parametreleri'!$B$7),0)),0))</f>
        <v>0</v>
      </c>
      <c r="AD192" s="78">
        <f>W192/100*'İşçilik Parametreleri'!$B$9+X192/100*'İşçilik Parametreleri'!$B$17+Y192/100*'İşçilik Parametreleri'!$B$25</f>
        <v>3.0824999999999996</v>
      </c>
      <c r="AE192" s="78">
        <f t="shared" si="22"/>
        <v>3.0824999999999996</v>
      </c>
      <c r="AF192" s="75">
        <v>5</v>
      </c>
      <c r="AG192" s="84">
        <f>AD192*AF192+IF(AA192="Kataforez",N(AB192)*AF192,IF(AA192="Yaş boya",ROUNDUP(AF192/MAX(1,ROUND(IF(ISNUMBER(AB192),AB192,'İşçilik Parametreleri'!$B$7),0)),0)*'İşçilik Parametreleri'!$B$6,0))</f>
        <v>15.412499999999998</v>
      </c>
      <c r="AH192" s="70">
        <f t="shared" si="23"/>
        <v>0.770625</v>
      </c>
    </row>
    <row r="193" spans="1:34" ht="15" customHeight="1" x14ac:dyDescent="0.25">
      <c r="A193" s="82" t="s">
        <v>628</v>
      </c>
      <c r="B193" s="80" t="s">
        <v>23</v>
      </c>
      <c r="C193" s="81" t="s">
        <v>362</v>
      </c>
      <c r="D193" s="68" t="s">
        <v>139</v>
      </c>
      <c r="E193" s="68" t="s">
        <v>130</v>
      </c>
      <c r="F193" s="68">
        <v>1</v>
      </c>
      <c r="G193" s="68">
        <v>3</v>
      </c>
      <c r="H193" s="68">
        <v>2</v>
      </c>
      <c r="I193" s="68">
        <v>2</v>
      </c>
      <c r="J193" s="68">
        <v>6</v>
      </c>
      <c r="K193" s="70">
        <v>4.048</v>
      </c>
      <c r="L193" s="70">
        <v>4.048</v>
      </c>
      <c r="M193" s="71">
        <f t="shared" si="20"/>
        <v>0</v>
      </c>
      <c r="N193" s="68">
        <v>2</v>
      </c>
      <c r="O193" s="68">
        <v>2</v>
      </c>
      <c r="P193" s="68">
        <v>0</v>
      </c>
      <c r="Q193" s="72">
        <v>120</v>
      </c>
      <c r="R193" s="72">
        <v>0</v>
      </c>
      <c r="S193" s="72">
        <v>0</v>
      </c>
      <c r="T193" s="72">
        <v>0</v>
      </c>
      <c r="U193" s="72">
        <v>0</v>
      </c>
      <c r="V193" s="73">
        <f>SUM(Q193:U193)*'İşçilik Parametreleri'!$B$28/1000</f>
        <v>0.12</v>
      </c>
      <c r="W193" s="70">
        <f>SUMIF('Büküm Parçaları'!$A$2:$A$213,A193,'Büküm Parçaları'!$I$2:$I$213)</f>
        <v>11.154999999999998</v>
      </c>
      <c r="X193" s="70">
        <f>(I193*'İşçilik Parametreleri'!$B$18+IF(L193&gt;'İşçilik Parametreleri'!$B$21,'İşçilik Parametreleri'!$B$20,'İşçilik Parametreleri'!$B$19)+N193*'İşçilik Parametreleri'!$B$22)*'İşçilik Parametreleri'!$B$23</f>
        <v>9.1624999999999996</v>
      </c>
      <c r="Y193" s="70">
        <f>(IF('İşçilik Parametreleri'!$B$27="Resme göre",(Q193*INDEX('İşçilik Parametreleri'!$F$16:$I$20,1,MATCH('İşçilik Parametreleri'!$B$26,{"Manuel","Robot","HTD","Lazer"},0))+R193*INDEX('İşçilik Parametreleri'!$F$16:$I$20,2,MATCH('İşçilik Parametreleri'!$B$26,{"Manuel","Robot","HTD","Lazer"},0))+S193*INDEX('İşçilik Parametreleri'!$F$16:$I$20,3,MATCH('İşçilik Parametreleri'!$B$26,{"Manuel","Robot","HTD","Lazer"},0))+T193*INDEX('İşçilik Parametreleri'!$F$16:$I$20,4,MATCH('İşçilik Parametreleri'!$B$26,{"Manuel","Robot","HTD","Lazer"},0))+U193*INDEX('İşçilik Parametreleri'!$F$16:$I$20,5,MATCH('İşçilik Parametreleri'!$B$26,{"Manuel","Robot","HTD","Lazer"},0))),SUM(Q193:U193)*INDEX('İşçilik Parametreleri'!$F$16:$I$20,MATCH(VALUE('İşçilik Parametreleri'!$B$27),'İşçilik Parametreleri'!$E$16:$E$20,0),MATCH('İşçilik Parametreleri'!$B$26,{"Manuel","Robot","HTD","Lazer"},0)))*'İşçilik Parametreleri'!$B$28/1000+O193*IF(OR('İşçilik Parametreleri'!$B$26="Robot",'İşçilik Parametreleri'!$B$26="HTD"),'İşçilik Parametreleri'!$B$30,'İşçilik Parametreleri'!$B$29))*'İşçilik Parametreleri'!$B$31</f>
        <v>2.84</v>
      </c>
      <c r="Z193" s="74">
        <f t="shared" si="21"/>
        <v>13.894499999999997</v>
      </c>
      <c r="AA193" s="75" t="s">
        <v>124</v>
      </c>
      <c r="AB193" s="76"/>
      <c r="AC193" s="77">
        <f>IF(AA193="Kataforez",N(AB193),IF(AA193="Yaş boya",'İşçilik Parametreleri'!$B$6/MAX(1,ROUND(IF(ISNUMBER(AB193),AB193,'İşçilik Parametreleri'!$B$7),0)),0))</f>
        <v>0</v>
      </c>
      <c r="AD193" s="78">
        <f>W193/100*'İşçilik Parametreleri'!$B$9+X193/100*'İşçilik Parametreleri'!$B$17+Y193/100*'İşçilik Parametreleri'!$B$25</f>
        <v>4.6314999999999991</v>
      </c>
      <c r="AE193" s="78">
        <f t="shared" si="22"/>
        <v>4.6314999999999991</v>
      </c>
      <c r="AF193" s="75">
        <v>3</v>
      </c>
      <c r="AG193" s="84">
        <f>AD193*AF193+IF(AA193="Kataforez",N(AB193)*AF193,IF(AA193="Yaş boya",ROUNDUP(AF193/MAX(1,ROUND(IF(ISNUMBER(AB193),AB193,'İşçilik Parametreleri'!$B$7),0)),0)*'İşçilik Parametreleri'!$B$6,0))</f>
        <v>13.894499999999997</v>
      </c>
      <c r="AH193" s="70">
        <f t="shared" si="23"/>
        <v>0.69472499999999981</v>
      </c>
    </row>
    <row r="194" spans="1:34" ht="15" customHeight="1" x14ac:dyDescent="0.25">
      <c r="A194" s="82" t="s">
        <v>629</v>
      </c>
      <c r="B194" s="80" t="s">
        <v>23</v>
      </c>
      <c r="C194" s="81" t="s">
        <v>363</v>
      </c>
      <c r="D194" s="68" t="s">
        <v>243</v>
      </c>
      <c r="E194" s="68" t="s">
        <v>130</v>
      </c>
      <c r="F194" s="68">
        <v>1</v>
      </c>
      <c r="G194" s="68">
        <v>2</v>
      </c>
      <c r="H194" s="68">
        <v>2</v>
      </c>
      <c r="I194" s="68">
        <v>2</v>
      </c>
      <c r="J194" s="68">
        <v>0</v>
      </c>
      <c r="K194" s="70">
        <v>1.25</v>
      </c>
      <c r="L194" s="70">
        <v>1.2190000000000001</v>
      </c>
      <c r="M194" s="71">
        <f t="shared" si="20"/>
        <v>-2.4799999999999933E-2</v>
      </c>
      <c r="N194" s="68">
        <v>2</v>
      </c>
      <c r="O194" s="68">
        <v>2</v>
      </c>
      <c r="P194" s="68">
        <v>0</v>
      </c>
      <c r="Q194" s="72">
        <v>0</v>
      </c>
      <c r="R194" s="72">
        <v>160</v>
      </c>
      <c r="S194" s="72">
        <v>0</v>
      </c>
      <c r="T194" s="72">
        <v>0</v>
      </c>
      <c r="U194" s="72">
        <v>0</v>
      </c>
      <c r="V194" s="73">
        <f>SUM(Q194:U194)*'İşçilik Parametreleri'!$B$28/1000</f>
        <v>0.16</v>
      </c>
      <c r="W194" s="70">
        <f>SUMIF('Büküm Parçaları'!$A$2:$A$213,A194,'Büküm Parçaları'!$I$2:$I$213)</f>
        <v>0</v>
      </c>
      <c r="X194" s="70">
        <f>(I194*'İşçilik Parametreleri'!$B$18+IF(L194&gt;'İşçilik Parametreleri'!$B$21,'İşçilik Parametreleri'!$B$20,'İşçilik Parametreleri'!$B$19)+N194*'İşçilik Parametreleri'!$B$22)*'İşçilik Parametreleri'!$B$23</f>
        <v>9.1624999999999996</v>
      </c>
      <c r="Y194" s="70">
        <f>(IF('İşçilik Parametreleri'!$B$27="Resme göre",(Q194*INDEX('İşçilik Parametreleri'!$F$16:$I$20,1,MATCH('İşçilik Parametreleri'!$B$26,{"Manuel","Robot","HTD","Lazer"},0))+R194*INDEX('İşçilik Parametreleri'!$F$16:$I$20,2,MATCH('İşçilik Parametreleri'!$B$26,{"Manuel","Robot","HTD","Lazer"},0))+S194*INDEX('İşçilik Parametreleri'!$F$16:$I$20,3,MATCH('İşçilik Parametreleri'!$B$26,{"Manuel","Robot","HTD","Lazer"},0))+T194*INDEX('İşçilik Parametreleri'!$F$16:$I$20,4,MATCH('İşçilik Parametreleri'!$B$26,{"Manuel","Robot","HTD","Lazer"},0))+U194*INDEX('İşçilik Parametreleri'!$F$16:$I$20,5,MATCH('İşçilik Parametreleri'!$B$26,{"Manuel","Robot","HTD","Lazer"},0))),SUM(Q194:U194)*INDEX('İşçilik Parametreleri'!$F$16:$I$20,MATCH(VALUE('İşçilik Parametreleri'!$B$27),'İşçilik Parametreleri'!$E$16:$E$20,0),MATCH('İşçilik Parametreleri'!$B$26,{"Manuel","Robot","HTD","Lazer"},0)))*'İşçilik Parametreleri'!$B$28/1000+O194*IF(OR('İşçilik Parametreleri'!$B$26="Robot",'İşçilik Parametreleri'!$B$26="HTD"),'İşçilik Parametreleri'!$B$30,'İşçilik Parametreleri'!$B$29))*'İşçilik Parametreleri'!$B$31</f>
        <v>3.76</v>
      </c>
      <c r="Z194" s="74">
        <f t="shared" si="21"/>
        <v>7.7534999999999989</v>
      </c>
      <c r="AA194" s="75" t="s">
        <v>124</v>
      </c>
      <c r="AB194" s="76"/>
      <c r="AC194" s="77">
        <f>IF(AA194="Kataforez",N(AB194),IF(AA194="Yaş boya",'İşçilik Parametreleri'!$B$6/MAX(1,ROUND(IF(ISNUMBER(AB194),AB194,'İşçilik Parametreleri'!$B$7),0)),0))</f>
        <v>0</v>
      </c>
      <c r="AD194" s="78">
        <f>W194/100*'İşçilik Parametreleri'!$B$9+X194/100*'İşçilik Parametreleri'!$B$17+Y194/100*'İşçilik Parametreleri'!$B$25</f>
        <v>2.5844999999999998</v>
      </c>
      <c r="AE194" s="78">
        <f t="shared" si="22"/>
        <v>2.5844999999999998</v>
      </c>
      <c r="AF194" s="75">
        <v>4</v>
      </c>
      <c r="AG194" s="84">
        <f>AD194*AF194+IF(AA194="Kataforez",N(AB194)*AF194,IF(AA194="Yaş boya",ROUNDUP(AF194/MAX(1,ROUND(IF(ISNUMBER(AB194),AB194,'İşçilik Parametreleri'!$B$7),0)),0)*'İşçilik Parametreleri'!$B$6,0))</f>
        <v>10.337999999999999</v>
      </c>
      <c r="AH194" s="70">
        <f t="shared" si="23"/>
        <v>0.51690000000000003</v>
      </c>
    </row>
    <row r="195" spans="1:34" ht="15" customHeight="1" x14ac:dyDescent="0.25">
      <c r="A195" s="82" t="s">
        <v>630</v>
      </c>
      <c r="B195" s="80" t="s">
        <v>23</v>
      </c>
      <c r="C195" s="81" t="s">
        <v>365</v>
      </c>
      <c r="D195" s="68" t="s">
        <v>139</v>
      </c>
      <c r="E195" s="68" t="s">
        <v>130</v>
      </c>
      <c r="F195" s="68">
        <v>1</v>
      </c>
      <c r="G195" s="68">
        <v>3</v>
      </c>
      <c r="H195" s="68">
        <v>6</v>
      </c>
      <c r="I195" s="68">
        <v>6</v>
      </c>
      <c r="J195" s="68">
        <v>5</v>
      </c>
      <c r="K195" s="70">
        <v>0.86199999999999999</v>
      </c>
      <c r="L195" s="70">
        <v>0.86499999999999999</v>
      </c>
      <c r="M195" s="71">
        <f t="shared" si="20"/>
        <v>3.4802784222737852E-3</v>
      </c>
      <c r="N195" s="68">
        <v>6</v>
      </c>
      <c r="O195" s="68">
        <v>6</v>
      </c>
      <c r="P195" s="68">
        <v>0</v>
      </c>
      <c r="Q195" s="72">
        <v>198</v>
      </c>
      <c r="R195" s="72">
        <v>0</v>
      </c>
      <c r="S195" s="72">
        <v>0</v>
      </c>
      <c r="T195" s="72">
        <v>0</v>
      </c>
      <c r="U195" s="72">
        <v>0</v>
      </c>
      <c r="V195" s="73">
        <f>SUM(Q195:U195)*'İşçilik Parametreleri'!$B$28/1000</f>
        <v>0.19800000000000001</v>
      </c>
      <c r="W195" s="70">
        <f>SUMIF('Büküm Parçaları'!$A$2:$A$213,A195,'Büküm Parçaları'!$I$2:$I$213)</f>
        <v>14.259999999999998</v>
      </c>
      <c r="X195" s="70">
        <f>(I195*'İşçilik Parametreleri'!$B$18+IF(L195&gt;'İşçilik Parametreleri'!$B$21,'İşçilik Parametreleri'!$B$20,'İşçilik Parametreleri'!$B$19)+N195*'İşçilik Parametreleri'!$B$22)*'İşçilik Parametreleri'!$B$23</f>
        <v>19.162500000000001</v>
      </c>
      <c r="Y195" s="70">
        <f>(IF('İşçilik Parametreleri'!$B$27="Resme göre",(Q195*INDEX('İşçilik Parametreleri'!$F$16:$I$20,1,MATCH('İşçilik Parametreleri'!$B$26,{"Manuel","Robot","HTD","Lazer"},0))+R195*INDEX('İşçilik Parametreleri'!$F$16:$I$20,2,MATCH('İşçilik Parametreleri'!$B$26,{"Manuel","Robot","HTD","Lazer"},0))+S195*INDEX('İşçilik Parametreleri'!$F$16:$I$20,3,MATCH('İşçilik Parametreleri'!$B$26,{"Manuel","Robot","HTD","Lazer"},0))+T195*INDEX('İşçilik Parametreleri'!$F$16:$I$20,4,MATCH('İşçilik Parametreleri'!$B$26,{"Manuel","Robot","HTD","Lazer"},0))+U195*INDEX('İşçilik Parametreleri'!$F$16:$I$20,5,MATCH('İşçilik Parametreleri'!$B$26,{"Manuel","Robot","HTD","Lazer"},0))),SUM(Q195:U195)*INDEX('İşçilik Parametreleri'!$F$16:$I$20,MATCH(VALUE('İşçilik Parametreleri'!$B$27),'İşçilik Parametreleri'!$E$16:$E$20,0),MATCH('İşçilik Parametreleri'!$B$26,{"Manuel","Robot","HTD","Lazer"},0)))*'İşçilik Parametreleri'!$B$28/1000+O195*IF(OR('İşçilik Parametreleri'!$B$26="Robot",'İşçilik Parametreleri'!$B$26="HTD"),'İşçilik Parametreleri'!$B$30,'İşçilik Parametreleri'!$B$29))*'İşçilik Parametreleri'!$B$31</f>
        <v>7.3860000000000001</v>
      </c>
      <c r="Z195" s="74">
        <f t="shared" si="21"/>
        <v>24.485099999999999</v>
      </c>
      <c r="AA195" s="75" t="s">
        <v>124</v>
      </c>
      <c r="AB195" s="76"/>
      <c r="AC195" s="77">
        <f>IF(AA195="Kataforez",N(AB195),IF(AA195="Yaş boya",'İşçilik Parametreleri'!$B$6/MAX(1,ROUND(IF(ISNUMBER(AB195),AB195,'İşçilik Parametreleri'!$B$7),0)),0))</f>
        <v>0</v>
      </c>
      <c r="AD195" s="78">
        <f>W195/100*'İşçilik Parametreleri'!$B$9+X195/100*'İşçilik Parametreleri'!$B$17+Y195/100*'İşçilik Parametreleri'!$B$25</f>
        <v>8.1616999999999997</v>
      </c>
      <c r="AE195" s="78">
        <f t="shared" si="22"/>
        <v>8.1616999999999997</v>
      </c>
      <c r="AF195" s="75">
        <v>1</v>
      </c>
      <c r="AG195" s="84">
        <f>AD195*AF195+IF(AA195="Kataforez",N(AB195)*AF195,IF(AA195="Yaş boya",ROUNDUP(AF195/MAX(1,ROUND(IF(ISNUMBER(AB195),AB195,'İşçilik Parametreleri'!$B$7),0)),0)*'İşçilik Parametreleri'!$B$6,0))</f>
        <v>8.1616999999999997</v>
      </c>
      <c r="AH195" s="70">
        <f t="shared" si="23"/>
        <v>0.40808500000000003</v>
      </c>
    </row>
    <row r="196" spans="1:34" ht="15" customHeight="1" x14ac:dyDescent="0.25">
      <c r="A196" s="82" t="s">
        <v>631</v>
      </c>
      <c r="B196" s="68" t="s">
        <v>439</v>
      </c>
      <c r="C196" s="69" t="s">
        <v>366</v>
      </c>
      <c r="D196" s="68" t="s">
        <v>194</v>
      </c>
      <c r="E196" s="68" t="s">
        <v>130</v>
      </c>
      <c r="F196" s="68">
        <v>2</v>
      </c>
      <c r="G196" s="68">
        <v>2</v>
      </c>
      <c r="H196" s="68">
        <v>3</v>
      </c>
      <c r="I196" s="68">
        <v>3</v>
      </c>
      <c r="J196" s="68">
        <v>0</v>
      </c>
      <c r="K196" s="70">
        <v>12.151</v>
      </c>
      <c r="L196" s="70">
        <v>11.747</v>
      </c>
      <c r="M196" s="71">
        <f t="shared" si="20"/>
        <v>-3.3248292321619612E-2</v>
      </c>
      <c r="N196" s="68">
        <v>2</v>
      </c>
      <c r="O196" s="68">
        <v>2</v>
      </c>
      <c r="P196" s="68">
        <v>0</v>
      </c>
      <c r="Q196" s="72">
        <v>169</v>
      </c>
      <c r="R196" s="72">
        <v>0</v>
      </c>
      <c r="S196" s="72">
        <v>0</v>
      </c>
      <c r="T196" s="72">
        <v>0</v>
      </c>
      <c r="U196" s="72">
        <v>0</v>
      </c>
      <c r="V196" s="73">
        <f>SUM(Q196:U196)*'İşçilik Parametreleri'!$B$28/1000</f>
        <v>0.16900000000000001</v>
      </c>
      <c r="W196" s="70">
        <f>SUMIF('Büküm Parçaları'!$A$2:$A$213,A196,'Büküm Parçaları'!$I$2:$I$213)</f>
        <v>0</v>
      </c>
      <c r="X196" s="70">
        <f>(I196*'İşçilik Parametreleri'!$B$18+IF(L196&gt;'İşçilik Parametreleri'!$B$21,'İşçilik Parametreleri'!$B$20,'İşçilik Parametreleri'!$B$19)+N196*'İşçilik Parametreleri'!$B$22)*'İşçilik Parametreleri'!$B$23</f>
        <v>10.4125</v>
      </c>
      <c r="Y196" s="70">
        <f>(IF('İşçilik Parametreleri'!$B$27="Resme göre",(Q196*INDEX('İşçilik Parametreleri'!$F$16:$I$20,1,MATCH('İşçilik Parametreleri'!$B$26,{"Manuel","Robot","HTD","Lazer"},0))+R196*INDEX('İşçilik Parametreleri'!$F$16:$I$20,2,MATCH('İşçilik Parametreleri'!$B$26,{"Manuel","Robot","HTD","Lazer"},0))+S196*INDEX('İşçilik Parametreleri'!$F$16:$I$20,3,MATCH('İşçilik Parametreleri'!$B$26,{"Manuel","Robot","HTD","Lazer"},0))+T196*INDEX('İşçilik Parametreleri'!$F$16:$I$20,4,MATCH('İşçilik Parametreleri'!$B$26,{"Manuel","Robot","HTD","Lazer"},0))+U196*INDEX('İşçilik Parametreleri'!$F$16:$I$20,5,MATCH('İşçilik Parametreleri'!$B$26,{"Manuel","Robot","HTD","Lazer"},0))),SUM(Q196:U196)*INDEX('İşçilik Parametreleri'!$F$16:$I$20,MATCH(VALUE('İşçilik Parametreleri'!$B$27),'İşçilik Parametreleri'!$E$16:$E$20,0),MATCH('İşçilik Parametreleri'!$B$26,{"Manuel","Robot","HTD","Lazer"},0)))*'İşçilik Parametreleri'!$B$28/1000+O196*IF(OR('İşçilik Parametreleri'!$B$26="Robot",'İşçilik Parametreleri'!$B$26="HTD"),'İşçilik Parametreleri'!$B$30,'İşçilik Parametreleri'!$B$29))*'İşçilik Parametreleri'!$B$31</f>
        <v>3.1829999999999998</v>
      </c>
      <c r="Z196" s="74">
        <f t="shared" si="21"/>
        <v>8.1572999999999993</v>
      </c>
      <c r="AA196" s="75" t="s">
        <v>124</v>
      </c>
      <c r="AB196" s="76"/>
      <c r="AC196" s="77">
        <f>IF(AA196="Kataforez",N(AB196),IF(AA196="Yaş boya",'İşçilik Parametreleri'!$B$6/MAX(1,ROUND(IF(ISNUMBER(AB196),AB196,'İşçilik Parametreleri'!$B$7),0)),0))</f>
        <v>0</v>
      </c>
      <c r="AD196" s="78">
        <f>W196/100*'İşçilik Parametreleri'!$B$9+X196/100*'İşçilik Parametreleri'!$B$17+Y196/100*'İşçilik Parametreleri'!$B$25</f>
        <v>2.7191000000000001</v>
      </c>
      <c r="AE196" s="78">
        <f t="shared" si="22"/>
        <v>2.7191000000000001</v>
      </c>
      <c r="AF196" s="75">
        <v>3</v>
      </c>
      <c r="AG196" s="84">
        <f>AD196*AF196+IF(AA196="Kataforez",N(AB196)*AF196,IF(AA196="Yaş boya",ROUNDUP(AF196/MAX(1,ROUND(IF(ISNUMBER(AB196),AB196,'İşçilik Parametreleri'!$B$7),0)),0)*'İşçilik Parametreleri'!$B$6,0))</f>
        <v>8.1572999999999993</v>
      </c>
      <c r="AH196" s="70">
        <f t="shared" si="23"/>
        <v>0.40786499999999998</v>
      </c>
    </row>
    <row r="197" spans="1:34" ht="15" customHeight="1" x14ac:dyDescent="0.25">
      <c r="A197" s="82" t="s">
        <v>632</v>
      </c>
      <c r="B197" s="80" t="s">
        <v>23</v>
      </c>
      <c r="C197" s="81" t="s">
        <v>367</v>
      </c>
      <c r="D197" s="68" t="s">
        <v>194</v>
      </c>
      <c r="E197" s="68" t="s">
        <v>456</v>
      </c>
      <c r="F197" s="68">
        <v>1</v>
      </c>
      <c r="G197" s="68">
        <v>2</v>
      </c>
      <c r="H197" s="68">
        <v>3</v>
      </c>
      <c r="I197" s="68">
        <v>3</v>
      </c>
      <c r="J197" s="68">
        <v>2</v>
      </c>
      <c r="K197" s="70">
        <v>0.39900000000000002</v>
      </c>
      <c r="L197" s="70">
        <v>0.38400000000000001</v>
      </c>
      <c r="M197" s="71">
        <f t="shared" si="20"/>
        <v>-3.7593984962406048E-2</v>
      </c>
      <c r="N197" s="68">
        <v>2</v>
      </c>
      <c r="O197" s="68">
        <v>2</v>
      </c>
      <c r="P197" s="68">
        <v>0</v>
      </c>
      <c r="Q197" s="72">
        <v>80</v>
      </c>
      <c r="R197" s="72">
        <v>0</v>
      </c>
      <c r="S197" s="72">
        <v>0</v>
      </c>
      <c r="T197" s="72">
        <v>0</v>
      </c>
      <c r="U197" s="72">
        <v>0</v>
      </c>
      <c r="V197" s="73">
        <f>SUM(Q197:U197)*'İşçilik Parametreleri'!$B$28/1000</f>
        <v>0.08</v>
      </c>
      <c r="W197" s="70">
        <f>SUMIF('Büküm Parçaları'!$A$2:$A$213,A197,'Büküm Parçaları'!$I$2:$I$213)</f>
        <v>6.5549999999999997</v>
      </c>
      <c r="X197" s="70">
        <f>(I197*'İşçilik Parametreleri'!$B$18+IF(L197&gt;'İşçilik Parametreleri'!$B$21,'İşçilik Parametreleri'!$B$20,'İşçilik Parametreleri'!$B$19)+N197*'İşçilik Parametreleri'!$B$22)*'İşçilik Parametreleri'!$B$23</f>
        <v>10.4125</v>
      </c>
      <c r="Y197" s="70">
        <f>(IF('İşçilik Parametreleri'!$B$27="Resme göre",(Q197*INDEX('İşçilik Parametreleri'!$F$16:$I$20,1,MATCH('İşçilik Parametreleri'!$B$26,{"Manuel","Robot","HTD","Lazer"},0))+R197*INDEX('İşçilik Parametreleri'!$F$16:$I$20,2,MATCH('İşçilik Parametreleri'!$B$26,{"Manuel","Robot","HTD","Lazer"},0))+S197*INDEX('İşçilik Parametreleri'!$F$16:$I$20,3,MATCH('İşçilik Parametreleri'!$B$26,{"Manuel","Robot","HTD","Lazer"},0))+T197*INDEX('İşçilik Parametreleri'!$F$16:$I$20,4,MATCH('İşçilik Parametreleri'!$B$26,{"Manuel","Robot","HTD","Lazer"},0))+U197*INDEX('İşçilik Parametreleri'!$F$16:$I$20,5,MATCH('İşçilik Parametreleri'!$B$26,{"Manuel","Robot","HTD","Lazer"},0))),SUM(Q197:U197)*INDEX('İşçilik Parametreleri'!$F$16:$I$20,MATCH(VALUE('İşçilik Parametreleri'!$B$27),'İşçilik Parametreleri'!$E$16:$E$20,0),MATCH('İşçilik Parametreleri'!$B$26,{"Manuel","Robot","HTD","Lazer"},0)))*'İşçilik Parametreleri'!$B$28/1000+O197*IF(OR('İşçilik Parametreleri'!$B$26="Robot",'İşçilik Parametreleri'!$B$26="HTD"),'İşçilik Parametreleri'!$B$30,'İşçilik Parametreleri'!$B$29))*'İşçilik Parametreleri'!$B$31</f>
        <v>2.56</v>
      </c>
      <c r="Z197" s="74">
        <f t="shared" si="21"/>
        <v>11.7165</v>
      </c>
      <c r="AA197" s="75" t="s">
        <v>94</v>
      </c>
      <c r="AB197" s="76"/>
      <c r="AC197" s="77">
        <f>IF(AA197="Kataforez",N(AB197),IF(AA197="Yaş boya",'İşçilik Parametreleri'!$B$6/MAX(1,ROUND(IF(ISNUMBER(AB197),AB197,'İşçilik Parametreleri'!$B$7),0)),0))</f>
        <v>0</v>
      </c>
      <c r="AD197" s="78">
        <f>W197/100*'İşçilik Parametreleri'!$B$9+X197/100*'İşçilik Parametreleri'!$B$17+Y197/100*'İşçilik Parametreleri'!$B$25</f>
        <v>3.9055</v>
      </c>
      <c r="AE197" s="78">
        <f t="shared" si="22"/>
        <v>3.9055</v>
      </c>
      <c r="AF197" s="75">
        <v>2</v>
      </c>
      <c r="AG197" s="84">
        <f>AD197*AF197+IF(AA197="Kataforez",N(AB197)*AF197,IF(AA197="Yaş boya",ROUNDUP(AF197/MAX(1,ROUND(IF(ISNUMBER(AB197),AB197,'İşçilik Parametreleri'!$B$7),0)),0)*'İşçilik Parametreleri'!$B$6,0))</f>
        <v>7.8109999999999999</v>
      </c>
      <c r="AH197" s="70">
        <f t="shared" si="23"/>
        <v>0.39055000000000001</v>
      </c>
    </row>
    <row r="198" spans="1:34" ht="15" customHeight="1" x14ac:dyDescent="0.25">
      <c r="A198" s="67" t="s">
        <v>633</v>
      </c>
      <c r="B198" s="87" t="s">
        <v>23</v>
      </c>
      <c r="C198" s="81" t="s">
        <v>368</v>
      </c>
      <c r="D198" s="68" t="s">
        <v>151</v>
      </c>
      <c r="E198" s="68" t="s">
        <v>94</v>
      </c>
      <c r="F198" s="68">
        <v>1</v>
      </c>
      <c r="G198" s="68">
        <v>2</v>
      </c>
      <c r="H198" s="68">
        <v>6</v>
      </c>
      <c r="I198" s="68">
        <v>6</v>
      </c>
      <c r="J198" s="68">
        <v>0</v>
      </c>
      <c r="K198" s="70">
        <v>19.823</v>
      </c>
      <c r="L198" s="70">
        <v>19.721</v>
      </c>
      <c r="M198" s="71">
        <f t="shared" ref="M198:M229" si="24">IF(ISNUMBER(K198),(L198-K198)/K198,"")</f>
        <v>-5.1455380114009139E-3</v>
      </c>
      <c r="N198" s="68">
        <v>5</v>
      </c>
      <c r="O198" s="68">
        <v>5</v>
      </c>
      <c r="P198" s="68">
        <v>0</v>
      </c>
      <c r="Q198" s="72">
        <v>0</v>
      </c>
      <c r="R198" s="72">
        <v>600</v>
      </c>
      <c r="S198" s="72">
        <v>0</v>
      </c>
      <c r="T198" s="72">
        <v>0</v>
      </c>
      <c r="U198" s="72">
        <v>0</v>
      </c>
      <c r="V198" s="73">
        <f>SUM(Q198:U198)*'İşçilik Parametreleri'!$B$28/1000</f>
        <v>0.6</v>
      </c>
      <c r="W198" s="70">
        <f>SUMIF('Büküm Parçaları'!$A$2:$A$213,A198,'Büküm Parçaları'!$I$2:$I$213)</f>
        <v>0</v>
      </c>
      <c r="X198" s="70">
        <f>(I198*'İşçilik Parametreleri'!$B$18+IF(L198&gt;'İşçilik Parametreleri'!$B$21,'İşçilik Parametreleri'!$B$20,'İşçilik Parametreleri'!$B$19)+N198*'İşçilik Parametreleri'!$B$22)*'İşçilik Parametreleri'!$B$23</f>
        <v>17.912500000000001</v>
      </c>
      <c r="Y198" s="70">
        <f>(IF('İşçilik Parametreleri'!$B$27="Resme göre",(Q198*INDEX('İşçilik Parametreleri'!$F$16:$I$20,1,MATCH('İşçilik Parametreleri'!$B$26,{"Manuel","Robot","HTD","Lazer"},0))+R198*INDEX('İşçilik Parametreleri'!$F$16:$I$20,2,MATCH('İşçilik Parametreleri'!$B$26,{"Manuel","Robot","HTD","Lazer"},0))+S198*INDEX('İşçilik Parametreleri'!$F$16:$I$20,3,MATCH('İşçilik Parametreleri'!$B$26,{"Manuel","Robot","HTD","Lazer"},0))+T198*INDEX('İşçilik Parametreleri'!$F$16:$I$20,4,MATCH('İşçilik Parametreleri'!$B$26,{"Manuel","Robot","HTD","Lazer"},0))+U198*INDEX('İşçilik Parametreleri'!$F$16:$I$20,5,MATCH('İşçilik Parametreleri'!$B$26,{"Manuel","Robot","HTD","Lazer"},0))),SUM(Q198:U198)*INDEX('İşçilik Parametreleri'!$F$16:$I$20,MATCH(VALUE('İşçilik Parametreleri'!$B$27),'İşçilik Parametreleri'!$E$16:$E$20,0),MATCH('İşçilik Parametreleri'!$B$26,{"Manuel","Robot","HTD","Lazer"},0)))*'İşçilik Parametreleri'!$B$28/1000+O198*IF(OR('İşçilik Parametreleri'!$B$26="Robot",'İşçilik Parametreleri'!$B$26="HTD"),'İşçilik Parametreleri'!$B$30,'İşçilik Parametreleri'!$B$29))*'İşçilik Parametreleri'!$B$31</f>
        <v>11.6</v>
      </c>
      <c r="Z198" s="74">
        <f t="shared" ref="Z198:Z229" si="25">(W198+X198+Y198)*0.6</f>
        <v>17.7075</v>
      </c>
      <c r="AA198" s="75" t="s">
        <v>94</v>
      </c>
      <c r="AB198" s="76"/>
      <c r="AC198" s="77">
        <f>IF(AA198="Kataforez",N(AB198),IF(AA198="Yaş boya",'İşçilik Parametreleri'!$B$6/MAX(1,ROUND(IF(ISNUMBER(AB198),AB198,'İşçilik Parametreleri'!$B$7),0)),0))</f>
        <v>0</v>
      </c>
      <c r="AD198" s="78">
        <f>W198/100*'İşçilik Parametreleri'!$B$9+X198/100*'İşçilik Parametreleri'!$B$17+Y198/100*'İşçilik Parametreleri'!$B$25</f>
        <v>5.9024999999999999</v>
      </c>
      <c r="AE198" s="78">
        <f t="shared" ref="AE198:AE229" si="26">AD198+AC198</f>
        <v>5.9024999999999999</v>
      </c>
      <c r="AF198" s="75">
        <v>1</v>
      </c>
      <c r="AG198" s="84">
        <f>AD198*AF198+IF(AA198="Kataforez",N(AB198)*AF198,IF(AA198="Yaş boya",ROUNDUP(AF198/MAX(1,ROUND(IF(ISNUMBER(AB198),AB198,'İşçilik Parametreleri'!$B$7),0)),0)*'İşçilik Parametreleri'!$B$6,0))</f>
        <v>5.9024999999999999</v>
      </c>
      <c r="AH198" s="70">
        <f t="shared" si="23"/>
        <v>0.29512500000000003</v>
      </c>
    </row>
    <row r="199" spans="1:34" ht="15" customHeight="1" x14ac:dyDescent="0.25">
      <c r="A199" s="82" t="s">
        <v>634</v>
      </c>
      <c r="B199" s="80" t="s">
        <v>23</v>
      </c>
      <c r="C199" s="81" t="s">
        <v>370</v>
      </c>
      <c r="D199" s="68" t="s">
        <v>107</v>
      </c>
      <c r="E199" s="68" t="s">
        <v>130</v>
      </c>
      <c r="F199" s="68">
        <v>1</v>
      </c>
      <c r="G199" s="68">
        <v>3</v>
      </c>
      <c r="H199" s="68">
        <v>3</v>
      </c>
      <c r="I199" s="68">
        <v>2</v>
      </c>
      <c r="J199" s="68">
        <v>0</v>
      </c>
      <c r="K199" s="70">
        <v>4.2110000000000003</v>
      </c>
      <c r="L199" s="70">
        <v>4.2140000000000004</v>
      </c>
      <c r="M199" s="71">
        <f t="shared" si="24"/>
        <v>7.1241985276659068E-4</v>
      </c>
      <c r="N199" s="68">
        <v>2</v>
      </c>
      <c r="O199" s="68">
        <v>2</v>
      </c>
      <c r="P199" s="68">
        <v>0</v>
      </c>
      <c r="Q199" s="72">
        <v>0</v>
      </c>
      <c r="R199" s="72">
        <v>0</v>
      </c>
      <c r="S199" s="72">
        <v>0</v>
      </c>
      <c r="T199" s="72">
        <v>0</v>
      </c>
      <c r="U199" s="72">
        <v>100</v>
      </c>
      <c r="V199" s="73">
        <f>SUM(Q199:U199)*'İşçilik Parametreleri'!$B$28/1000</f>
        <v>0.1</v>
      </c>
      <c r="W199" s="70">
        <f>SUMIF('Büküm Parçaları'!$A$2:$A$213,A199,'Büküm Parçaları'!$I$2:$I$213)</f>
        <v>0</v>
      </c>
      <c r="X199" s="70">
        <f>(I199*'İşçilik Parametreleri'!$B$18+IF(L199&gt;'İşçilik Parametreleri'!$B$21,'İşçilik Parametreleri'!$B$20,'İşçilik Parametreleri'!$B$19)+N199*'İşçilik Parametreleri'!$B$22)*'İşçilik Parametreleri'!$B$23</f>
        <v>9.1624999999999996</v>
      </c>
      <c r="Y199" s="70">
        <f>(IF('İşçilik Parametreleri'!$B$27="Resme göre",(Q199*INDEX('İşçilik Parametreleri'!$F$16:$I$20,1,MATCH('İşçilik Parametreleri'!$B$26,{"Manuel","Robot","HTD","Lazer"},0))+R199*INDEX('İşçilik Parametreleri'!$F$16:$I$20,2,MATCH('İşçilik Parametreleri'!$B$26,{"Manuel","Robot","HTD","Lazer"},0))+S199*INDEX('İşçilik Parametreleri'!$F$16:$I$20,3,MATCH('İşçilik Parametreleri'!$B$26,{"Manuel","Robot","HTD","Lazer"},0))+T199*INDEX('İşçilik Parametreleri'!$F$16:$I$20,4,MATCH('İşçilik Parametreleri'!$B$26,{"Manuel","Robot","HTD","Lazer"},0))+U199*INDEX('İşçilik Parametreleri'!$F$16:$I$20,5,MATCH('İşçilik Parametreleri'!$B$26,{"Manuel","Robot","HTD","Lazer"},0))),SUM(Q199:U199)*INDEX('İşçilik Parametreleri'!$F$16:$I$20,MATCH(VALUE('İşçilik Parametreleri'!$B$27),'İşçilik Parametreleri'!$E$16:$E$20,0),MATCH('İşçilik Parametreleri'!$B$26,{"Manuel","Robot","HTD","Lazer"},0)))*'İşçilik Parametreleri'!$B$28/1000+O199*IF(OR('İşçilik Parametreleri'!$B$26="Robot",'İşçilik Parametreleri'!$B$26="HTD"),'İşçilik Parametreleri'!$B$30,'İşçilik Parametreleri'!$B$29))*'İşçilik Parametreleri'!$B$31</f>
        <v>5.0999999999999996</v>
      </c>
      <c r="Z199" s="74">
        <f t="shared" si="25"/>
        <v>8.5574999999999992</v>
      </c>
      <c r="AA199" s="75" t="s">
        <v>124</v>
      </c>
      <c r="AB199" s="76"/>
      <c r="AC199" s="77">
        <f>IF(AA199="Kataforez",N(AB199),IF(AA199="Yaş boya",'İşçilik Parametreleri'!$B$6/MAX(1,ROUND(IF(ISNUMBER(AB199),AB199,'İşçilik Parametreleri'!$B$7),0)),0))</f>
        <v>0</v>
      </c>
      <c r="AD199" s="78">
        <f>W199/100*'İşçilik Parametreleri'!$B$9+X199/100*'İşçilik Parametreleri'!$B$17+Y199/100*'İşçilik Parametreleri'!$B$25</f>
        <v>2.8525</v>
      </c>
      <c r="AE199" s="78">
        <f t="shared" si="26"/>
        <v>2.8525</v>
      </c>
      <c r="AF199" s="75">
        <v>2</v>
      </c>
      <c r="AG199" s="84">
        <f>AD199*AF199+IF(AA199="Kataforez",N(AB199)*AF199,IF(AA199="Yaş boya",ROUNDUP(AF199/MAX(1,ROUND(IF(ISNUMBER(AB199),AB199,'İşçilik Parametreleri'!$B$7),0)),0)*'İşçilik Parametreleri'!$B$6,0))</f>
        <v>5.7050000000000001</v>
      </c>
      <c r="AH199" s="70">
        <f t="shared" si="23"/>
        <v>0.28525</v>
      </c>
    </row>
    <row r="200" spans="1:34" ht="15" customHeight="1" x14ac:dyDescent="0.25">
      <c r="A200" s="67" t="s">
        <v>635</v>
      </c>
      <c r="B200" s="87" t="s">
        <v>23</v>
      </c>
      <c r="C200" s="81" t="s">
        <v>372</v>
      </c>
      <c r="D200" s="68" t="s">
        <v>99</v>
      </c>
      <c r="E200" s="68" t="s">
        <v>130</v>
      </c>
      <c r="F200" s="68">
        <v>1</v>
      </c>
      <c r="G200" s="68">
        <v>2</v>
      </c>
      <c r="H200" s="68">
        <v>43</v>
      </c>
      <c r="I200" s="68">
        <v>0</v>
      </c>
      <c r="J200" s="68">
        <v>0</v>
      </c>
      <c r="K200" s="70">
        <v>17.968</v>
      </c>
      <c r="L200" s="70">
        <v>17.965</v>
      </c>
      <c r="M200" s="71">
        <f t="shared" si="24"/>
        <v>-1.6696349065005084E-4</v>
      </c>
      <c r="N200" s="68">
        <v>0</v>
      </c>
      <c r="O200" s="68">
        <v>0</v>
      </c>
      <c r="P200" s="68">
        <v>0</v>
      </c>
      <c r="Q200" s="72">
        <v>0</v>
      </c>
      <c r="R200" s="72">
        <v>0</v>
      </c>
      <c r="S200" s="72">
        <v>0</v>
      </c>
      <c r="T200" s="72">
        <v>0</v>
      </c>
      <c r="U200" s="72">
        <v>0</v>
      </c>
      <c r="V200" s="73">
        <f>SUM(Q200:U200)*'İşçilik Parametreleri'!$B$28/1000</f>
        <v>0</v>
      </c>
      <c r="W200" s="70">
        <f>SUMIF('Büküm Parçaları'!$A$2:$A$213,A200,'Büküm Parçaları'!$I$2:$I$213)</f>
        <v>0</v>
      </c>
      <c r="X200" s="70">
        <f>(I200*'İşçilik Parametreleri'!$B$18+IF(L200&gt;'İşçilik Parametreleri'!$B$21,'İşçilik Parametreleri'!$B$20,'İşçilik Parametreleri'!$B$19)+N200*'İşçilik Parametreleri'!$B$22)*'İşçilik Parametreleri'!$B$23</f>
        <v>4.1624999999999996</v>
      </c>
      <c r="Y200" s="70">
        <f>(IF('İşçilik Parametreleri'!$B$27="Resme göre",(Q200*INDEX('İşçilik Parametreleri'!$F$16:$I$20,1,MATCH('İşçilik Parametreleri'!$B$26,{"Manuel","Robot","HTD","Lazer"},0))+R200*INDEX('İşçilik Parametreleri'!$F$16:$I$20,2,MATCH('İşçilik Parametreleri'!$B$26,{"Manuel","Robot","HTD","Lazer"},0))+S200*INDEX('İşçilik Parametreleri'!$F$16:$I$20,3,MATCH('İşçilik Parametreleri'!$B$26,{"Manuel","Robot","HTD","Lazer"},0))+T200*INDEX('İşçilik Parametreleri'!$F$16:$I$20,4,MATCH('İşçilik Parametreleri'!$B$26,{"Manuel","Robot","HTD","Lazer"},0))+U200*INDEX('İşçilik Parametreleri'!$F$16:$I$20,5,MATCH('İşçilik Parametreleri'!$B$26,{"Manuel","Robot","HTD","Lazer"},0))),SUM(Q200:U200)*INDEX('İşçilik Parametreleri'!$F$16:$I$20,MATCH(VALUE('İşçilik Parametreleri'!$B$27),'İşçilik Parametreleri'!$E$16:$E$20,0),MATCH('İşçilik Parametreleri'!$B$26,{"Manuel","Robot","HTD","Lazer"},0)))*'İşçilik Parametreleri'!$B$28/1000+O200*IF(OR('İşçilik Parametreleri'!$B$26="Robot",'İşçilik Parametreleri'!$B$26="HTD"),'İşçilik Parametreleri'!$B$30,'İşçilik Parametreleri'!$B$29))*'İşçilik Parametreleri'!$B$31</f>
        <v>0</v>
      </c>
      <c r="Z200" s="74">
        <f t="shared" si="25"/>
        <v>2.4974999999999996</v>
      </c>
      <c r="AA200" s="75" t="s">
        <v>124</v>
      </c>
      <c r="AB200" s="76"/>
      <c r="AC200" s="77">
        <f>IF(AA200="Kataforez",N(AB200),IF(AA200="Yaş boya",'İşçilik Parametreleri'!$B$6/MAX(1,ROUND(IF(ISNUMBER(AB200),AB200,'İşçilik Parametreleri'!$B$7),0)),0))</f>
        <v>0</v>
      </c>
      <c r="AD200" s="78">
        <f>W200/100*'İşçilik Parametreleri'!$B$9+X200/100*'İşçilik Parametreleri'!$B$17+Y200/100*'İşçilik Parametreleri'!$B$25</f>
        <v>0.83249999999999991</v>
      </c>
      <c r="AE200" s="78">
        <f t="shared" si="26"/>
        <v>0.83249999999999991</v>
      </c>
      <c r="AF200" s="75">
        <v>5</v>
      </c>
      <c r="AG200" s="84">
        <f>AD200*AF200+IF(AA200="Kataforez",N(AB200)*AF200,IF(AA200="Yaş boya",ROUNDUP(AF200/MAX(1,ROUND(IF(ISNUMBER(AB200),AB200,'İşçilik Parametreleri'!$B$7),0)),0)*'İşçilik Parametreleri'!$B$6,0))</f>
        <v>4.1624999999999996</v>
      </c>
      <c r="AH200" s="70">
        <f t="shared" si="23"/>
        <v>0.208125</v>
      </c>
    </row>
    <row r="201" spans="1:34" ht="15" customHeight="1" x14ac:dyDescent="0.25">
      <c r="A201" s="88" t="s">
        <v>636</v>
      </c>
      <c r="B201" s="89"/>
      <c r="C201" s="89"/>
      <c r="D201" s="89"/>
      <c r="E201" s="89"/>
      <c r="F201" s="89"/>
      <c r="G201" s="89"/>
      <c r="H201" s="88">
        <f>SUM(H6:H200)</f>
        <v>1010</v>
      </c>
      <c r="I201" s="89"/>
      <c r="J201" s="88">
        <f>SUM(J6:J200)</f>
        <v>520</v>
      </c>
      <c r="K201" s="90"/>
      <c r="L201" s="90"/>
      <c r="M201" s="91"/>
      <c r="N201" s="89"/>
      <c r="O201" s="89"/>
      <c r="P201" s="88">
        <f t="shared" ref="P201:Z201" si="27">SUM(P6:P200)</f>
        <v>66</v>
      </c>
      <c r="Q201" s="92">
        <f t="shared" si="27"/>
        <v>123575</v>
      </c>
      <c r="R201" s="92">
        <f t="shared" si="27"/>
        <v>22248</v>
      </c>
      <c r="S201" s="92">
        <f t="shared" si="27"/>
        <v>20990</v>
      </c>
      <c r="T201" s="92">
        <f t="shared" si="27"/>
        <v>3607</v>
      </c>
      <c r="U201" s="92">
        <f t="shared" si="27"/>
        <v>10357</v>
      </c>
      <c r="V201" s="93">
        <f t="shared" si="27"/>
        <v>180.77700000000013</v>
      </c>
      <c r="W201" s="94">
        <f t="shared" si="27"/>
        <v>2078.567500000001</v>
      </c>
      <c r="X201" s="94">
        <f t="shared" si="27"/>
        <v>3360.9249999999879</v>
      </c>
      <c r="Y201" s="94">
        <f t="shared" si="27"/>
        <v>2898.029</v>
      </c>
      <c r="Z201" s="95">
        <f t="shared" si="27"/>
        <v>5002.5128999999952</v>
      </c>
      <c r="AA201" s="89"/>
      <c r="AB201" s="96"/>
      <c r="AC201" s="97"/>
      <c r="AD201" s="98">
        <f>SUMPRODUCT(AD6:AD200,AF6:AF200)</f>
        <v>60189.345799999945</v>
      </c>
      <c r="AE201" s="99"/>
      <c r="AF201" s="88">
        <f>SUM(AF6:AF200)</f>
        <v>7863</v>
      </c>
      <c r="AG201" s="100">
        <f>SUM(AG6:AG200)</f>
        <v>70053.345799999952</v>
      </c>
      <c r="AH201" s="94">
        <f>SUM(AH6:AH200)</f>
        <v>3009.4672900000028</v>
      </c>
    </row>
    <row r="203" spans="1:34" ht="15" customHeight="1" x14ac:dyDescent="0.25">
      <c r="B203" s="101" t="s">
        <v>637</v>
      </c>
      <c r="D203" s="102">
        <f>AH201</f>
        <v>3009.4672900000028</v>
      </c>
    </row>
    <row r="204" spans="1:34" ht="15" customHeight="1" x14ac:dyDescent="0.25">
      <c r="B204" s="101" t="s">
        <v>638</v>
      </c>
      <c r="D204" s="103">
        <f>AD201</f>
        <v>60189.345799999945</v>
      </c>
    </row>
    <row r="205" spans="1:34" ht="15" customHeight="1" x14ac:dyDescent="0.25">
      <c r="B205" s="101" t="s">
        <v>639</v>
      </c>
      <c r="D205" s="103">
        <f>AG201-AD201</f>
        <v>9864.0000000000073</v>
      </c>
    </row>
    <row r="206" spans="1:34" ht="15" customHeight="1" x14ac:dyDescent="0.25">
      <c r="B206" s="101" t="s">
        <v>640</v>
      </c>
      <c r="D206" s="103">
        <f>AG201</f>
        <v>70053.345799999952</v>
      </c>
    </row>
    <row r="207" spans="1:34" ht="15" customHeight="1" x14ac:dyDescent="0.25">
      <c r="B207" s="101" t="s">
        <v>641</v>
      </c>
      <c r="D207" s="103">
        <f>SUMIF(B6:B200,"STEP modeli",AG6:AG200)</f>
        <v>31336.234550000008</v>
      </c>
    </row>
    <row r="208" spans="1:34" ht="15" customHeight="1" x14ac:dyDescent="0.25">
      <c r="B208" s="101" t="s">
        <v>642</v>
      </c>
      <c r="D208" s="103">
        <f>SUMIF(B6:B200,"Resimden tahmin",AG6:AG200)</f>
        <v>38717.11124999998</v>
      </c>
    </row>
    <row r="209" spans="2:4" ht="15" customHeight="1" x14ac:dyDescent="0.25">
      <c r="B209" s="101" t="s">
        <v>643</v>
      </c>
      <c r="D209" s="104">
        <f>COUNTIFS(AA6:AA200,"Kataforez",AB6:AB200,"")</f>
        <v>15</v>
      </c>
    </row>
  </sheetData>
  <autoFilter ref="A5:AH201" xr:uid="{00000000-0009-0000-0000-000003000000}"/>
  <mergeCells count="6">
    <mergeCell ref="AD4:AH4"/>
    <mergeCell ref="A4:G4"/>
    <mergeCell ref="H4:P4"/>
    <mergeCell ref="Q4:V4"/>
    <mergeCell ref="W4:Z4"/>
    <mergeCell ref="AA4:AC4"/>
  </mergeCells>
  <conditionalFormatting sqref="F6:F200">
    <cfRule type="expression" dxfId="1" priority="3">
      <formula>F6&gt;0</formula>
    </cfRule>
  </conditionalFormatting>
  <conditionalFormatting sqref="M6:M200">
    <cfRule type="expression" dxfId="0" priority="2">
      <formula>AND(ISNUMBER(M6),ABS(M6)&gt;0.03)</formula>
    </cfRule>
  </conditionalFormatting>
  <dataValidations count="1">
    <dataValidation type="list" allowBlank="1" sqref="AA6:AA200" xr:uid="{00000000-0002-0000-0300-000000000000}">
      <formula1>"Kataforez,Yaş boya,Yok"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1"/>
  <sheetViews>
    <sheetView zoomScaleNormal="100" workbookViewId="0"/>
  </sheetViews>
  <sheetFormatPr defaultColWidth="8.7109375" defaultRowHeight="15" x14ac:dyDescent="0.25"/>
  <cols>
    <col min="1" max="1" width="30" customWidth="1"/>
    <col min="2" max="2" width="13" customWidth="1"/>
    <col min="3" max="3" width="36" customWidth="1"/>
    <col min="5" max="5" width="11" customWidth="1"/>
  </cols>
  <sheetData>
    <row r="1" spans="1:9" ht="18" customHeight="1" x14ac:dyDescent="0.25">
      <c r="A1" s="64" t="s">
        <v>644</v>
      </c>
    </row>
    <row r="2" spans="1:9" ht="15" customHeight="1" x14ac:dyDescent="0.25">
      <c r="A2" s="65" t="s">
        <v>645</v>
      </c>
    </row>
    <row r="3" spans="1:9" ht="15" customHeight="1" x14ac:dyDescent="0.25">
      <c r="E3" s="101" t="s">
        <v>646</v>
      </c>
    </row>
    <row r="4" spans="1:9" ht="15" customHeight="1" x14ac:dyDescent="0.25">
      <c r="A4" s="101" t="s">
        <v>647</v>
      </c>
      <c r="E4" s="101" t="s">
        <v>648</v>
      </c>
      <c r="F4" s="101" t="s">
        <v>649</v>
      </c>
    </row>
    <row r="5" spans="1:9" ht="15" customHeight="1" x14ac:dyDescent="0.25">
      <c r="A5" s="105" t="s">
        <v>650</v>
      </c>
      <c r="B5" s="106" t="s">
        <v>651</v>
      </c>
      <c r="C5" s="107"/>
      <c r="E5" s="108">
        <v>0</v>
      </c>
      <c r="F5" s="108">
        <v>1</v>
      </c>
    </row>
    <row r="6" spans="1:9" ht="15" customHeight="1" x14ac:dyDescent="0.25">
      <c r="A6" s="105" t="s">
        <v>652</v>
      </c>
      <c r="B6" s="109">
        <f>Parametreler!$B$10</f>
        <v>80</v>
      </c>
      <c r="C6" s="107" t="s">
        <v>653</v>
      </c>
      <c r="E6" s="108">
        <v>5</v>
      </c>
      <c r="F6" s="108">
        <v>2.25</v>
      </c>
    </row>
    <row r="7" spans="1:9" ht="15" customHeight="1" x14ac:dyDescent="0.25">
      <c r="A7" s="105" t="s">
        <v>393</v>
      </c>
      <c r="B7" s="106">
        <v>1</v>
      </c>
      <c r="C7" s="107" t="s">
        <v>654</v>
      </c>
      <c r="E7" s="108">
        <v>20</v>
      </c>
      <c r="F7" s="108">
        <v>4.5</v>
      </c>
    </row>
    <row r="8" spans="1:9" ht="15" customHeight="1" x14ac:dyDescent="0.25">
      <c r="A8" s="101" t="s">
        <v>61</v>
      </c>
      <c r="E8" s="108">
        <v>25</v>
      </c>
      <c r="F8" s="108">
        <v>14</v>
      </c>
    </row>
    <row r="9" spans="1:9" ht="15" customHeight="1" x14ac:dyDescent="0.25">
      <c r="A9" s="105" t="s">
        <v>655</v>
      </c>
      <c r="B9" s="106">
        <v>20</v>
      </c>
      <c r="C9" s="107" t="s">
        <v>656</v>
      </c>
      <c r="E9" s="108">
        <v>30</v>
      </c>
      <c r="F9" s="108">
        <v>15.75</v>
      </c>
    </row>
    <row r="10" spans="1:9" ht="15" customHeight="1" x14ac:dyDescent="0.25">
      <c r="A10" s="105" t="s">
        <v>657</v>
      </c>
      <c r="B10" s="106">
        <v>17</v>
      </c>
      <c r="C10" s="107" t="s">
        <v>658</v>
      </c>
      <c r="E10" s="108">
        <v>50</v>
      </c>
      <c r="F10" s="108">
        <v>18</v>
      </c>
    </row>
    <row r="11" spans="1:9" ht="15" customHeight="1" x14ac:dyDescent="0.25">
      <c r="A11" s="105" t="s">
        <v>659</v>
      </c>
      <c r="B11" s="106">
        <v>10</v>
      </c>
      <c r="C11" s="107" t="s">
        <v>660</v>
      </c>
      <c r="E11" s="108">
        <v>80</v>
      </c>
      <c r="F11" s="108">
        <v>22.5</v>
      </c>
    </row>
    <row r="12" spans="1:9" ht="15" customHeight="1" x14ac:dyDescent="0.25">
      <c r="A12" s="105" t="s">
        <v>661</v>
      </c>
      <c r="B12" s="106">
        <v>1</v>
      </c>
      <c r="C12" s="107" t="s">
        <v>662</v>
      </c>
      <c r="E12" s="108">
        <v>110</v>
      </c>
      <c r="F12" s="108">
        <v>24.75</v>
      </c>
    </row>
    <row r="13" spans="1:9" ht="15" customHeight="1" x14ac:dyDescent="0.25">
      <c r="A13" s="105" t="s">
        <v>663</v>
      </c>
      <c r="B13" s="106">
        <v>1</v>
      </c>
      <c r="C13" s="107" t="s">
        <v>662</v>
      </c>
    </row>
    <row r="14" spans="1:9" ht="15" customHeight="1" x14ac:dyDescent="0.25">
      <c r="A14" s="105" t="s">
        <v>664</v>
      </c>
      <c r="B14" s="106">
        <v>1</v>
      </c>
      <c r="C14" s="107" t="s">
        <v>665</v>
      </c>
      <c r="E14" s="101" t="s">
        <v>666</v>
      </c>
    </row>
    <row r="15" spans="1:9" ht="15" customHeight="1" x14ac:dyDescent="0.25">
      <c r="A15" s="105" t="s">
        <v>667</v>
      </c>
      <c r="B15" s="106">
        <v>1.1499999999999999</v>
      </c>
      <c r="C15" s="107"/>
      <c r="E15" s="101" t="s">
        <v>668</v>
      </c>
      <c r="F15" s="101" t="s">
        <v>669</v>
      </c>
      <c r="G15" s="101" t="s">
        <v>670</v>
      </c>
      <c r="H15" s="101" t="s">
        <v>671</v>
      </c>
      <c r="I15" s="101" t="s">
        <v>672</v>
      </c>
    </row>
    <row r="16" spans="1:9" ht="15" customHeight="1" x14ac:dyDescent="0.25">
      <c r="A16" s="101" t="s">
        <v>62</v>
      </c>
      <c r="E16" s="105">
        <v>4</v>
      </c>
      <c r="F16" s="108">
        <v>7</v>
      </c>
      <c r="G16" s="108">
        <v>3</v>
      </c>
      <c r="H16" s="108">
        <v>2</v>
      </c>
      <c r="I16" s="108">
        <v>1.1000000000000001</v>
      </c>
    </row>
    <row r="17" spans="1:9" ht="15" customHeight="1" x14ac:dyDescent="0.25">
      <c r="A17" s="105" t="s">
        <v>655</v>
      </c>
      <c r="B17" s="106">
        <v>20</v>
      </c>
      <c r="C17" s="107" t="s">
        <v>656</v>
      </c>
      <c r="E17" s="105">
        <v>5</v>
      </c>
      <c r="F17" s="108">
        <v>11</v>
      </c>
      <c r="G17" s="108">
        <v>5</v>
      </c>
      <c r="H17" s="108">
        <v>3</v>
      </c>
      <c r="I17" s="108">
        <v>1.1000000000000001</v>
      </c>
    </row>
    <row r="18" spans="1:9" ht="15" customHeight="1" x14ac:dyDescent="0.25">
      <c r="A18" s="105" t="s">
        <v>673</v>
      </c>
      <c r="B18" s="106">
        <v>1</v>
      </c>
      <c r="C18" s="107" t="s">
        <v>674</v>
      </c>
      <c r="E18" s="105">
        <v>6</v>
      </c>
      <c r="F18" s="108">
        <v>18</v>
      </c>
      <c r="G18" s="108">
        <v>8</v>
      </c>
      <c r="H18" s="108">
        <v>4</v>
      </c>
      <c r="I18" s="108">
        <v>1.1000000000000001</v>
      </c>
    </row>
    <row r="19" spans="1:9" ht="15" customHeight="1" x14ac:dyDescent="0.25">
      <c r="A19" s="105" t="s">
        <v>675</v>
      </c>
      <c r="B19" s="106">
        <v>3.33</v>
      </c>
      <c r="C19" s="107" t="s">
        <v>674</v>
      </c>
      <c r="E19" s="105">
        <v>7</v>
      </c>
      <c r="F19" s="108">
        <v>27</v>
      </c>
      <c r="G19" s="108">
        <v>13</v>
      </c>
      <c r="H19" s="108">
        <v>7</v>
      </c>
      <c r="I19" s="108">
        <v>1.1000000000000001</v>
      </c>
    </row>
    <row r="20" spans="1:9" ht="15" customHeight="1" x14ac:dyDescent="0.25">
      <c r="A20" s="105" t="s">
        <v>676</v>
      </c>
      <c r="B20" s="106">
        <v>7</v>
      </c>
      <c r="C20" s="107" t="s">
        <v>674</v>
      </c>
      <c r="E20" s="105">
        <v>8</v>
      </c>
      <c r="F20" s="108">
        <v>31</v>
      </c>
      <c r="G20" s="108">
        <v>15</v>
      </c>
      <c r="H20" s="108">
        <v>8</v>
      </c>
      <c r="I20" s="108">
        <v>1.1000000000000001</v>
      </c>
    </row>
    <row r="21" spans="1:9" ht="15" customHeight="1" x14ac:dyDescent="0.25">
      <c r="A21" s="105" t="s">
        <v>677</v>
      </c>
      <c r="B21" s="106">
        <v>25</v>
      </c>
      <c r="C21" s="107" t="s">
        <v>678</v>
      </c>
    </row>
    <row r="22" spans="1:9" ht="15" customHeight="1" x14ac:dyDescent="0.25">
      <c r="A22" s="105" t="s">
        <v>679</v>
      </c>
      <c r="B22" s="106">
        <v>1</v>
      </c>
      <c r="C22" s="107" t="s">
        <v>680</v>
      </c>
      <c r="E22" s="65" t="s">
        <v>681</v>
      </c>
    </row>
    <row r="23" spans="1:9" ht="15" customHeight="1" x14ac:dyDescent="0.25">
      <c r="A23" s="105" t="s">
        <v>667</v>
      </c>
      <c r="B23" s="106">
        <v>1.25</v>
      </c>
      <c r="C23" s="107"/>
    </row>
    <row r="24" spans="1:9" ht="15" customHeight="1" x14ac:dyDescent="0.25">
      <c r="A24" s="101" t="s">
        <v>63</v>
      </c>
    </row>
    <row r="25" spans="1:9" ht="15" customHeight="1" x14ac:dyDescent="0.25">
      <c r="A25" s="105" t="s">
        <v>655</v>
      </c>
      <c r="B25" s="106">
        <v>20</v>
      </c>
      <c r="C25" s="107" t="s">
        <v>656</v>
      </c>
    </row>
    <row r="26" spans="1:9" ht="15" customHeight="1" x14ac:dyDescent="0.25">
      <c r="A26" s="105" t="s">
        <v>431</v>
      </c>
      <c r="B26" s="106" t="s">
        <v>669</v>
      </c>
      <c r="C26" s="107" t="s">
        <v>682</v>
      </c>
    </row>
    <row r="27" spans="1:9" ht="15" customHeight="1" x14ac:dyDescent="0.25">
      <c r="A27" s="105" t="s">
        <v>683</v>
      </c>
      <c r="B27" s="106" t="s">
        <v>684</v>
      </c>
      <c r="C27" s="107" t="s">
        <v>685</v>
      </c>
    </row>
    <row r="28" spans="1:9" ht="15" customHeight="1" x14ac:dyDescent="0.25">
      <c r="A28" s="105" t="s">
        <v>686</v>
      </c>
      <c r="B28" s="106">
        <v>1</v>
      </c>
      <c r="C28" s="107" t="s">
        <v>687</v>
      </c>
    </row>
    <row r="29" spans="1:9" ht="15" customHeight="1" x14ac:dyDescent="0.25">
      <c r="A29" s="105" t="s">
        <v>688</v>
      </c>
      <c r="B29" s="106">
        <v>1</v>
      </c>
      <c r="C29" s="107" t="s">
        <v>689</v>
      </c>
    </row>
    <row r="30" spans="1:9" ht="15" customHeight="1" x14ac:dyDescent="0.25">
      <c r="A30" s="105" t="s">
        <v>690</v>
      </c>
      <c r="B30" s="106">
        <v>1</v>
      </c>
      <c r="C30" s="107" t="s">
        <v>689</v>
      </c>
    </row>
    <row r="31" spans="1:9" ht="15" customHeight="1" x14ac:dyDescent="0.25">
      <c r="A31" s="105" t="s">
        <v>667</v>
      </c>
      <c r="B31" s="106">
        <v>1</v>
      </c>
      <c r="C31" s="107"/>
    </row>
  </sheetData>
  <dataValidations count="2">
    <dataValidation type="list" allowBlank="1" sqref="B26" xr:uid="{00000000-0002-0000-0400-000000000000}">
      <formula1>"Manuel,Robot,HTD,Lazer"</formula1>
      <formula2>0</formula2>
    </dataValidation>
    <dataValidation type="list" allowBlank="1" sqref="B27" xr:uid="{00000000-0002-0000-0400-000001000000}">
      <formula1>"Resme göre,4,5,6,7,8"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13"/>
  <sheetViews>
    <sheetView zoomScaleNormal="100" workbookViewId="0">
      <pane ySplit="22" topLeftCell="A23" activePane="bottomLeft" state="frozen"/>
      <selection pane="bottomLeft"/>
    </sheetView>
  </sheetViews>
  <sheetFormatPr defaultColWidth="8.7109375" defaultRowHeight="15" x14ac:dyDescent="0.25"/>
  <cols>
    <col min="1" max="1" width="10" customWidth="1"/>
    <col min="2" max="2" width="14" customWidth="1"/>
    <col min="3" max="3" width="6" customWidth="1"/>
    <col min="4" max="4" width="40" customWidth="1"/>
    <col min="5" max="5" width="12" customWidth="1"/>
    <col min="7" max="7" width="16" customWidth="1"/>
    <col min="8" max="8" width="12" customWidth="1"/>
    <col min="9" max="9" width="16" customWidth="1"/>
  </cols>
  <sheetData>
    <row r="1" spans="1:9" ht="25.5" customHeight="1" x14ac:dyDescent="0.25">
      <c r="A1" s="66" t="s">
        <v>50</v>
      </c>
      <c r="B1" s="66" t="s">
        <v>691</v>
      </c>
      <c r="C1" s="66" t="s">
        <v>692</v>
      </c>
      <c r="D1" s="66" t="s">
        <v>693</v>
      </c>
      <c r="E1" s="66" t="s">
        <v>694</v>
      </c>
      <c r="F1" s="66" t="s">
        <v>695</v>
      </c>
      <c r="G1" s="66" t="s">
        <v>696</v>
      </c>
      <c r="H1" s="66" t="s">
        <v>697</v>
      </c>
      <c r="I1" s="66" t="s">
        <v>698</v>
      </c>
    </row>
    <row r="2" spans="1:9" ht="15" customHeight="1" x14ac:dyDescent="0.25">
      <c r="A2" s="105" t="s">
        <v>126</v>
      </c>
      <c r="B2" s="105" t="s">
        <v>699</v>
      </c>
      <c r="C2" s="105">
        <v>3</v>
      </c>
      <c r="D2" s="105" t="s">
        <v>700</v>
      </c>
      <c r="E2" s="105">
        <v>1</v>
      </c>
      <c r="F2" s="105">
        <v>2</v>
      </c>
      <c r="G2" s="110">
        <v>5.7649999999999997</v>
      </c>
      <c r="H2" s="111">
        <f>VLOOKUP(G2,'İşçilik Parametreleri'!$E$5:$F$12,2,TRUE())</f>
        <v>2.25</v>
      </c>
      <c r="I2" s="112">
        <f>(('İşçilik Parametreleri'!$B$10/MAX(1,'İşçilik Parametreleri'!$B$11)+'İşçilik Parametreleri'!$B$12+'İşçilik Parametreleri'!$B$13)*H2+F2*'İşçilik Parametreleri'!$B$14)*'İşçilik Parametreleri'!$B$15*E2</f>
        <v>11.873750000000001</v>
      </c>
    </row>
    <row r="3" spans="1:9" ht="15" customHeight="1" x14ac:dyDescent="0.25">
      <c r="A3" s="105" t="s">
        <v>126</v>
      </c>
      <c r="B3" s="105" t="s">
        <v>701</v>
      </c>
      <c r="C3" s="105">
        <v>4</v>
      </c>
      <c r="D3" s="105" t="s">
        <v>700</v>
      </c>
      <c r="E3" s="105">
        <v>1</v>
      </c>
      <c r="F3" s="105">
        <v>2</v>
      </c>
      <c r="G3" s="110">
        <v>5.359</v>
      </c>
      <c r="H3" s="111">
        <f>VLOOKUP(G3,'İşçilik Parametreleri'!$E$5:$F$12,2,TRUE())</f>
        <v>2.25</v>
      </c>
      <c r="I3" s="112">
        <f>(('İşçilik Parametreleri'!$B$10/MAX(1,'İşçilik Parametreleri'!$B$11)+'İşçilik Parametreleri'!$B$12+'İşçilik Parametreleri'!$B$13)*H3+F3*'İşçilik Parametreleri'!$B$14)*'İşçilik Parametreleri'!$B$15*E3</f>
        <v>11.873750000000001</v>
      </c>
    </row>
    <row r="4" spans="1:9" ht="15" customHeight="1" x14ac:dyDescent="0.25">
      <c r="A4" s="105" t="s">
        <v>126</v>
      </c>
      <c r="B4" s="105" t="s">
        <v>702</v>
      </c>
      <c r="C4" s="105">
        <v>5</v>
      </c>
      <c r="D4" s="105" t="s">
        <v>700</v>
      </c>
      <c r="E4" s="105">
        <v>1</v>
      </c>
      <c r="F4" s="105">
        <v>4</v>
      </c>
      <c r="G4" s="110">
        <v>6.2210000000000001</v>
      </c>
      <c r="H4" s="111">
        <f>VLOOKUP(G4,'İşçilik Parametreleri'!$E$5:$F$12,2,TRUE())</f>
        <v>2.25</v>
      </c>
      <c r="I4" s="112">
        <f>(('İşçilik Parametreleri'!$B$10/MAX(1,'İşçilik Parametreleri'!$B$11)+'İşçilik Parametreleri'!$B$12+'İşçilik Parametreleri'!$B$13)*H4+F4*'İşçilik Parametreleri'!$B$14)*'İşçilik Parametreleri'!$B$15*E4</f>
        <v>14.17375</v>
      </c>
    </row>
    <row r="5" spans="1:9" ht="15" customHeight="1" x14ac:dyDescent="0.25">
      <c r="A5" s="105" t="s">
        <v>126</v>
      </c>
      <c r="B5" s="105" t="s">
        <v>703</v>
      </c>
      <c r="C5" s="105">
        <v>6</v>
      </c>
      <c r="D5" s="105" t="s">
        <v>700</v>
      </c>
      <c r="E5" s="105">
        <v>1</v>
      </c>
      <c r="F5" s="105">
        <v>6</v>
      </c>
      <c r="G5" s="110">
        <v>5.657</v>
      </c>
      <c r="H5" s="111">
        <f>VLOOKUP(G5,'İşçilik Parametreleri'!$E$5:$F$12,2,TRUE())</f>
        <v>2.25</v>
      </c>
      <c r="I5" s="112">
        <f>(('İşçilik Parametreleri'!$B$10/MAX(1,'İşçilik Parametreleri'!$B$11)+'İşçilik Parametreleri'!$B$12+'İşçilik Parametreleri'!$B$13)*H5+F5*'İşçilik Parametreleri'!$B$14)*'İşçilik Parametreleri'!$B$15*E5</f>
        <v>16.473749999999999</v>
      </c>
    </row>
    <row r="6" spans="1:9" ht="15" customHeight="1" x14ac:dyDescent="0.25">
      <c r="A6" s="105" t="s">
        <v>179</v>
      </c>
      <c r="B6" s="105" t="s">
        <v>704</v>
      </c>
      <c r="C6" s="105">
        <v>3</v>
      </c>
      <c r="D6" s="105" t="s">
        <v>705</v>
      </c>
      <c r="E6" s="105">
        <v>1</v>
      </c>
      <c r="F6" s="105">
        <v>2</v>
      </c>
      <c r="G6" s="110">
        <v>5.8440000000000003</v>
      </c>
      <c r="H6" s="111">
        <f>VLOOKUP(G6,'İşçilik Parametreleri'!$E$5:$F$12,2,TRUE())</f>
        <v>2.25</v>
      </c>
      <c r="I6" s="112">
        <f>(('İşçilik Parametreleri'!$B$10/MAX(1,'İşçilik Parametreleri'!$B$11)+'İşçilik Parametreleri'!$B$12+'İşçilik Parametreleri'!$B$13)*H6+F6*'İşçilik Parametreleri'!$B$14)*'İşçilik Parametreleri'!$B$15*E6</f>
        <v>11.873750000000001</v>
      </c>
    </row>
    <row r="7" spans="1:9" ht="15" customHeight="1" x14ac:dyDescent="0.25">
      <c r="A7" s="105" t="s">
        <v>179</v>
      </c>
      <c r="B7" s="105" t="s">
        <v>706</v>
      </c>
      <c r="C7" s="105">
        <v>4</v>
      </c>
      <c r="D7" s="105" t="s">
        <v>705</v>
      </c>
      <c r="E7" s="105">
        <v>1</v>
      </c>
      <c r="F7" s="105">
        <v>2</v>
      </c>
      <c r="G7" s="110">
        <v>5.4260000000000002</v>
      </c>
      <c r="H7" s="111">
        <f>VLOOKUP(G7,'İşçilik Parametreleri'!$E$5:$F$12,2,TRUE())</f>
        <v>2.25</v>
      </c>
      <c r="I7" s="112">
        <f>(('İşçilik Parametreleri'!$B$10/MAX(1,'İşçilik Parametreleri'!$B$11)+'İşçilik Parametreleri'!$B$12+'İşçilik Parametreleri'!$B$13)*H7+F7*'İşçilik Parametreleri'!$B$14)*'İşçilik Parametreleri'!$B$15*E7</f>
        <v>11.873750000000001</v>
      </c>
    </row>
    <row r="8" spans="1:9" ht="15" customHeight="1" x14ac:dyDescent="0.25">
      <c r="A8" s="105" t="s">
        <v>179</v>
      </c>
      <c r="B8" s="105" t="s">
        <v>609</v>
      </c>
      <c r="C8" s="105">
        <v>6</v>
      </c>
      <c r="D8" s="105" t="s">
        <v>707</v>
      </c>
      <c r="E8" s="105">
        <v>1</v>
      </c>
      <c r="F8" s="105">
        <v>4</v>
      </c>
      <c r="G8" s="110">
        <v>6.367</v>
      </c>
      <c r="H8" s="111">
        <f>VLOOKUP(G8,'İşçilik Parametreleri'!$E$5:$F$12,2,TRUE())</f>
        <v>2.25</v>
      </c>
      <c r="I8" s="112">
        <f>(('İşçilik Parametreleri'!$B$10/MAX(1,'İşçilik Parametreleri'!$B$11)+'İşçilik Parametreleri'!$B$12+'İşçilik Parametreleri'!$B$13)*H8+F8*'İşçilik Parametreleri'!$B$14)*'İşçilik Parametreleri'!$B$15*E8</f>
        <v>14.17375</v>
      </c>
    </row>
    <row r="9" spans="1:9" ht="15" customHeight="1" x14ac:dyDescent="0.25">
      <c r="A9" s="105" t="s">
        <v>179</v>
      </c>
      <c r="B9" s="105" t="s">
        <v>708</v>
      </c>
      <c r="C9" s="105">
        <v>7</v>
      </c>
      <c r="D9" s="105" t="s">
        <v>709</v>
      </c>
      <c r="E9" s="105">
        <v>1</v>
      </c>
      <c r="F9" s="105">
        <v>6</v>
      </c>
      <c r="G9" s="110">
        <v>5.657</v>
      </c>
      <c r="H9" s="111">
        <f>VLOOKUP(G9,'İşçilik Parametreleri'!$E$5:$F$12,2,TRUE())</f>
        <v>2.25</v>
      </c>
      <c r="I9" s="112">
        <f>(('İşçilik Parametreleri'!$B$10/MAX(1,'İşçilik Parametreleri'!$B$11)+'İşçilik Parametreleri'!$B$12+'İşçilik Parametreleri'!$B$13)*H9+F9*'İşçilik Parametreleri'!$B$14)*'İşçilik Parametreleri'!$B$15*E9</f>
        <v>16.473749999999999</v>
      </c>
    </row>
    <row r="10" spans="1:9" ht="15" customHeight="1" x14ac:dyDescent="0.25">
      <c r="A10" s="105" t="s">
        <v>97</v>
      </c>
      <c r="B10" s="105" t="s">
        <v>710</v>
      </c>
      <c r="C10" s="105">
        <v>3</v>
      </c>
      <c r="D10" s="105" t="s">
        <v>711</v>
      </c>
      <c r="E10" s="105">
        <v>1</v>
      </c>
      <c r="F10" s="105">
        <v>2</v>
      </c>
      <c r="G10" s="110">
        <v>7.0679999999999996</v>
      </c>
      <c r="H10" s="111">
        <f>VLOOKUP(G10,'İşçilik Parametreleri'!$E$5:$F$12,2,TRUE())</f>
        <v>2.25</v>
      </c>
      <c r="I10" s="112">
        <f>(('İşçilik Parametreleri'!$B$10/MAX(1,'İşçilik Parametreleri'!$B$11)+'İşçilik Parametreleri'!$B$12+'İşçilik Parametreleri'!$B$13)*H10+F10*'İşçilik Parametreleri'!$B$14)*'İşçilik Parametreleri'!$B$15*E10</f>
        <v>11.873750000000001</v>
      </c>
    </row>
    <row r="11" spans="1:9" ht="15" customHeight="1" x14ac:dyDescent="0.25">
      <c r="A11" s="105" t="s">
        <v>97</v>
      </c>
      <c r="B11" s="105" t="s">
        <v>712</v>
      </c>
      <c r="C11" s="105">
        <v>4</v>
      </c>
      <c r="D11" s="105" t="s">
        <v>713</v>
      </c>
      <c r="E11" s="105">
        <v>1</v>
      </c>
      <c r="F11" s="105">
        <v>2</v>
      </c>
      <c r="G11" s="110">
        <v>6.2469999999999999</v>
      </c>
      <c r="H11" s="111">
        <f>VLOOKUP(G11,'İşçilik Parametreleri'!$E$5:$F$12,2,TRUE())</f>
        <v>2.25</v>
      </c>
      <c r="I11" s="112">
        <f>(('İşçilik Parametreleri'!$B$10/MAX(1,'İşçilik Parametreleri'!$B$11)+'İşçilik Parametreleri'!$B$12+'İşçilik Parametreleri'!$B$13)*H11+F11*'İşçilik Parametreleri'!$B$14)*'İşçilik Parametreleri'!$B$15*E11</f>
        <v>11.873750000000001</v>
      </c>
    </row>
    <row r="12" spans="1:9" ht="15" customHeight="1" x14ac:dyDescent="0.25">
      <c r="A12" s="105" t="s">
        <v>97</v>
      </c>
      <c r="B12" s="105" t="s">
        <v>714</v>
      </c>
      <c r="C12" s="105">
        <v>5</v>
      </c>
      <c r="D12" s="105" t="s">
        <v>715</v>
      </c>
      <c r="E12" s="105">
        <v>1</v>
      </c>
      <c r="F12" s="105">
        <v>4</v>
      </c>
      <c r="G12" s="110">
        <v>6.1909999999999998</v>
      </c>
      <c r="H12" s="111">
        <f>VLOOKUP(G12,'İşçilik Parametreleri'!$E$5:$F$12,2,TRUE())</f>
        <v>2.25</v>
      </c>
      <c r="I12" s="112">
        <f>(('İşçilik Parametreleri'!$B$10/MAX(1,'İşçilik Parametreleri'!$B$11)+'İşçilik Parametreleri'!$B$12+'İşçilik Parametreleri'!$B$13)*H12+F12*'İşçilik Parametreleri'!$B$14)*'İşçilik Parametreleri'!$B$15*E12</f>
        <v>14.17375</v>
      </c>
    </row>
    <row r="13" spans="1:9" ht="15" customHeight="1" x14ac:dyDescent="0.25">
      <c r="A13" s="105" t="s">
        <v>97</v>
      </c>
      <c r="B13" s="105" t="s">
        <v>716</v>
      </c>
      <c r="C13" s="105">
        <v>6</v>
      </c>
      <c r="D13" s="105" t="s">
        <v>717</v>
      </c>
      <c r="E13" s="105">
        <v>1</v>
      </c>
      <c r="F13" s="105">
        <v>4</v>
      </c>
      <c r="G13" s="110">
        <v>6.2389999999999999</v>
      </c>
      <c r="H13" s="111">
        <f>VLOOKUP(G13,'İşçilik Parametreleri'!$E$5:$F$12,2,TRUE())</f>
        <v>2.25</v>
      </c>
      <c r="I13" s="112">
        <f>(('İşçilik Parametreleri'!$B$10/MAX(1,'İşçilik Parametreleri'!$B$11)+'İşçilik Parametreleri'!$B$12+'İşçilik Parametreleri'!$B$13)*H13+F13*'İşçilik Parametreleri'!$B$14)*'İşçilik Parametreleri'!$B$15*E13</f>
        <v>14.17375</v>
      </c>
    </row>
    <row r="14" spans="1:9" ht="15" customHeight="1" x14ac:dyDescent="0.25">
      <c r="A14" s="105" t="s">
        <v>539</v>
      </c>
      <c r="B14" s="105" t="s">
        <v>718</v>
      </c>
      <c r="C14" s="105">
        <v>1</v>
      </c>
      <c r="D14" s="105" t="s">
        <v>719</v>
      </c>
      <c r="E14" s="105">
        <v>2</v>
      </c>
      <c r="F14" s="105">
        <v>2</v>
      </c>
      <c r="G14" s="110">
        <v>0.95</v>
      </c>
      <c r="H14" s="111">
        <f>VLOOKUP(G14,'İşçilik Parametreleri'!$E$5:$F$12,2,TRUE())</f>
        <v>1</v>
      </c>
      <c r="I14" s="112">
        <f>(('İşçilik Parametreleri'!$B$10/MAX(1,'İşçilik Parametreleri'!$B$11)+'İşçilik Parametreleri'!$B$12+'İşçilik Parametreleri'!$B$13)*H14+F14*'İşçilik Parametreleri'!$B$14)*'İşçilik Parametreleri'!$B$15*E14</f>
        <v>13.11</v>
      </c>
    </row>
    <row r="15" spans="1:9" ht="15" customHeight="1" x14ac:dyDescent="0.25">
      <c r="A15" s="105" t="s">
        <v>539</v>
      </c>
      <c r="B15" s="105" t="s">
        <v>720</v>
      </c>
      <c r="C15" s="105">
        <v>2</v>
      </c>
      <c r="D15" s="105" t="s">
        <v>721</v>
      </c>
      <c r="E15" s="105">
        <v>1</v>
      </c>
      <c r="F15" s="105">
        <v>2</v>
      </c>
      <c r="G15" s="110">
        <v>0.59</v>
      </c>
      <c r="H15" s="111">
        <f>VLOOKUP(G15,'İşçilik Parametreleri'!$E$5:$F$12,2,TRUE())</f>
        <v>1</v>
      </c>
      <c r="I15" s="112">
        <f>(('İşçilik Parametreleri'!$B$10/MAX(1,'İşçilik Parametreleri'!$B$11)+'İşçilik Parametreleri'!$B$12+'İşçilik Parametreleri'!$B$13)*H15+F15*'İşçilik Parametreleri'!$B$14)*'İşçilik Parametreleri'!$B$15*E15</f>
        <v>6.5549999999999997</v>
      </c>
    </row>
    <row r="16" spans="1:9" ht="15" customHeight="1" x14ac:dyDescent="0.25">
      <c r="A16" s="105" t="s">
        <v>539</v>
      </c>
      <c r="B16" s="105" t="s">
        <v>722</v>
      </c>
      <c r="C16" s="105">
        <v>6</v>
      </c>
      <c r="D16" s="105" t="s">
        <v>719</v>
      </c>
      <c r="E16" s="105">
        <v>1</v>
      </c>
      <c r="F16" s="105">
        <v>1</v>
      </c>
      <c r="G16" s="110">
        <v>1.61</v>
      </c>
      <c r="H16" s="111">
        <f>VLOOKUP(G16,'İşçilik Parametreleri'!$E$5:$F$12,2,TRUE())</f>
        <v>1</v>
      </c>
      <c r="I16" s="112">
        <f>(('İşçilik Parametreleri'!$B$10/MAX(1,'İşçilik Parametreleri'!$B$11)+'İşçilik Parametreleri'!$B$12+'İşçilik Parametreleri'!$B$13)*H16+F16*'İşçilik Parametreleri'!$B$14)*'İşçilik Parametreleri'!$B$15*E16</f>
        <v>5.4049999999999994</v>
      </c>
    </row>
    <row r="17" spans="1:9" ht="15" customHeight="1" x14ac:dyDescent="0.25">
      <c r="A17" s="105" t="s">
        <v>601</v>
      </c>
      <c r="B17" s="105" t="s">
        <v>723</v>
      </c>
      <c r="C17" s="105">
        <v>1</v>
      </c>
      <c r="D17" s="105" t="s">
        <v>724</v>
      </c>
      <c r="E17" s="105">
        <v>1</v>
      </c>
      <c r="F17" s="105">
        <v>4</v>
      </c>
      <c r="G17" s="110">
        <v>0.13400000000000001</v>
      </c>
      <c r="H17" s="111">
        <f>VLOOKUP(G17,'İşçilik Parametreleri'!$E$5:$F$12,2,TRUE())</f>
        <v>1</v>
      </c>
      <c r="I17" s="112">
        <f>(('İşçilik Parametreleri'!$B$10/MAX(1,'İşçilik Parametreleri'!$B$11)+'İşçilik Parametreleri'!$B$12+'İşçilik Parametreleri'!$B$13)*H17+F17*'İşçilik Parametreleri'!$B$14)*'İşçilik Parametreleri'!$B$15*E17</f>
        <v>8.8549999999999986</v>
      </c>
    </row>
    <row r="18" spans="1:9" ht="15" customHeight="1" x14ac:dyDescent="0.25">
      <c r="A18" s="105" t="s">
        <v>570</v>
      </c>
      <c r="B18" s="105" t="s">
        <v>725</v>
      </c>
      <c r="C18" s="105">
        <v>1</v>
      </c>
      <c r="D18" s="105" t="s">
        <v>726</v>
      </c>
      <c r="E18" s="105">
        <v>1</v>
      </c>
      <c r="F18" s="105">
        <v>1</v>
      </c>
      <c r="G18" s="110">
        <v>4.4539999999999997</v>
      </c>
      <c r="H18" s="111">
        <f>VLOOKUP(G18,'İşçilik Parametreleri'!$E$5:$F$12,2,TRUE())</f>
        <v>1</v>
      </c>
      <c r="I18" s="112">
        <f>(('İşçilik Parametreleri'!$B$10/MAX(1,'İşçilik Parametreleri'!$B$11)+'İşçilik Parametreleri'!$B$12+'İşçilik Parametreleri'!$B$13)*H18+F18*'İşçilik Parametreleri'!$B$14)*'İşçilik Parametreleri'!$B$15*E18</f>
        <v>5.4049999999999994</v>
      </c>
    </row>
    <row r="19" spans="1:9" ht="15" customHeight="1" x14ac:dyDescent="0.25">
      <c r="A19" s="105" t="s">
        <v>444</v>
      </c>
      <c r="B19" s="105" t="s">
        <v>727</v>
      </c>
      <c r="C19" s="105">
        <v>2</v>
      </c>
      <c r="D19" s="105" t="s">
        <v>728</v>
      </c>
      <c r="E19" s="105">
        <v>2</v>
      </c>
      <c r="F19" s="105">
        <v>1</v>
      </c>
      <c r="G19" s="110">
        <v>8.52</v>
      </c>
      <c r="H19" s="111">
        <f>VLOOKUP(G19,'İşçilik Parametreleri'!$E$5:$F$12,2,TRUE())</f>
        <v>2.25</v>
      </c>
      <c r="I19" s="112">
        <f>(('İşçilik Parametreleri'!$B$10/MAX(1,'İşçilik Parametreleri'!$B$11)+'İşçilik Parametreleri'!$B$12+'İşçilik Parametreleri'!$B$13)*H19+F19*'İşçilik Parametreleri'!$B$14)*'İşçilik Parametreleri'!$B$15*E19</f>
        <v>21.447500000000002</v>
      </c>
    </row>
    <row r="20" spans="1:9" ht="15" customHeight="1" x14ac:dyDescent="0.25">
      <c r="A20" s="105" t="s">
        <v>444</v>
      </c>
      <c r="B20" s="105" t="s">
        <v>729</v>
      </c>
      <c r="C20" s="105">
        <v>5</v>
      </c>
      <c r="D20" s="105" t="s">
        <v>730</v>
      </c>
      <c r="E20" s="105">
        <v>1</v>
      </c>
      <c r="F20" s="105">
        <v>1</v>
      </c>
      <c r="G20" s="110">
        <v>2.0830000000000002</v>
      </c>
      <c r="H20" s="111">
        <f>VLOOKUP(G20,'İşçilik Parametreleri'!$E$5:$F$12,2,TRUE())</f>
        <v>1</v>
      </c>
      <c r="I20" s="112">
        <f>(('İşçilik Parametreleri'!$B$10/MAX(1,'İşçilik Parametreleri'!$B$11)+'İşçilik Parametreleri'!$B$12+'İşçilik Parametreleri'!$B$13)*H20+F20*'İşçilik Parametreleri'!$B$14)*'İşçilik Parametreleri'!$B$15*E20</f>
        <v>5.4049999999999994</v>
      </c>
    </row>
    <row r="21" spans="1:9" ht="15" customHeight="1" x14ac:dyDescent="0.25">
      <c r="A21" s="105" t="s">
        <v>444</v>
      </c>
      <c r="B21" s="105" t="s">
        <v>731</v>
      </c>
      <c r="C21" s="105">
        <v>6</v>
      </c>
      <c r="D21" s="105" t="s">
        <v>732</v>
      </c>
      <c r="E21" s="105">
        <v>1</v>
      </c>
      <c r="F21" s="105">
        <v>1</v>
      </c>
      <c r="G21" s="110">
        <v>1.891</v>
      </c>
      <c r="H21" s="111">
        <f>VLOOKUP(G21,'İşçilik Parametreleri'!$E$5:$F$12,2,TRUE())</f>
        <v>1</v>
      </c>
      <c r="I21" s="112">
        <f>(('İşçilik Parametreleri'!$B$10/MAX(1,'İşçilik Parametreleri'!$B$11)+'İşçilik Parametreleri'!$B$12+'İşçilik Parametreleri'!$B$13)*H21+F21*'İşçilik Parametreleri'!$B$14)*'İşçilik Parametreleri'!$B$15*E21</f>
        <v>5.4049999999999994</v>
      </c>
    </row>
    <row r="22" spans="1:9" ht="15" customHeight="1" x14ac:dyDescent="0.25">
      <c r="A22" s="105" t="s">
        <v>484</v>
      </c>
      <c r="B22" s="105" t="s">
        <v>733</v>
      </c>
      <c r="C22" s="105">
        <v>1</v>
      </c>
      <c r="D22" s="105" t="s">
        <v>734</v>
      </c>
      <c r="E22" s="105">
        <v>1</v>
      </c>
      <c r="F22" s="105">
        <v>1</v>
      </c>
      <c r="G22" s="110">
        <v>4.2039999999999997</v>
      </c>
      <c r="H22" s="111">
        <f>VLOOKUP(G22,'İşçilik Parametreleri'!$E$5:$F$12,2,TRUE())</f>
        <v>1</v>
      </c>
      <c r="I22" s="112">
        <f>(('İşçilik Parametreleri'!$B$10/MAX(1,'İşçilik Parametreleri'!$B$11)+'İşçilik Parametreleri'!$B$12+'İşçilik Parametreleri'!$B$13)*H22+F22*'İşçilik Parametreleri'!$B$14)*'İşçilik Parametreleri'!$B$15*E22</f>
        <v>5.4049999999999994</v>
      </c>
    </row>
    <row r="23" spans="1:9" ht="15" customHeight="1" x14ac:dyDescent="0.25">
      <c r="A23" s="105" t="s">
        <v>497</v>
      </c>
      <c r="B23" s="105" t="s">
        <v>735</v>
      </c>
      <c r="C23" s="105">
        <v>1</v>
      </c>
      <c r="D23" s="105" t="s">
        <v>736</v>
      </c>
      <c r="E23" s="105">
        <v>1</v>
      </c>
      <c r="F23" s="105">
        <v>1</v>
      </c>
      <c r="G23" s="110">
        <v>6.2080000000000002</v>
      </c>
      <c r="H23" s="111">
        <f>VLOOKUP(G23,'İşçilik Parametreleri'!$E$5:$F$12,2,TRUE())</f>
        <v>2.25</v>
      </c>
      <c r="I23" s="112">
        <f>(('İşçilik Parametreleri'!$B$10/MAX(1,'İşçilik Parametreleri'!$B$11)+'İşçilik Parametreleri'!$B$12+'İşçilik Parametreleri'!$B$13)*H23+F23*'İşçilik Parametreleri'!$B$14)*'İşçilik Parametreleri'!$B$15*E23</f>
        <v>10.723750000000001</v>
      </c>
    </row>
    <row r="24" spans="1:9" ht="15" customHeight="1" x14ac:dyDescent="0.25">
      <c r="A24" s="105" t="s">
        <v>521</v>
      </c>
      <c r="B24" s="105" t="s">
        <v>727</v>
      </c>
      <c r="C24" s="105">
        <v>2</v>
      </c>
      <c r="D24" s="105" t="s">
        <v>700</v>
      </c>
      <c r="E24" s="105">
        <v>2</v>
      </c>
      <c r="F24" s="105">
        <v>1</v>
      </c>
      <c r="G24" s="110">
        <v>8.52</v>
      </c>
      <c r="H24" s="111">
        <f>VLOOKUP(G24,'İşçilik Parametreleri'!$E$5:$F$12,2,TRUE())</f>
        <v>2.25</v>
      </c>
      <c r="I24" s="112">
        <f>(('İşçilik Parametreleri'!$B$10/MAX(1,'İşçilik Parametreleri'!$B$11)+'İşçilik Parametreleri'!$B$12+'İşçilik Parametreleri'!$B$13)*H24+F24*'İşçilik Parametreleri'!$B$14)*'İşçilik Parametreleri'!$B$15*E24</f>
        <v>21.447500000000002</v>
      </c>
    </row>
    <row r="25" spans="1:9" ht="15" customHeight="1" x14ac:dyDescent="0.25">
      <c r="A25" s="105" t="s">
        <v>498</v>
      </c>
      <c r="B25" s="105" t="s">
        <v>737</v>
      </c>
      <c r="C25" s="105">
        <v>1</v>
      </c>
      <c r="D25" s="105" t="s">
        <v>738</v>
      </c>
      <c r="E25" s="105">
        <v>1</v>
      </c>
      <c r="F25" s="105">
        <v>2</v>
      </c>
      <c r="G25" s="110">
        <v>2.8290000000000002</v>
      </c>
      <c r="H25" s="111">
        <f>VLOOKUP(G25,'İşçilik Parametreleri'!$E$5:$F$12,2,TRUE())</f>
        <v>1</v>
      </c>
      <c r="I25" s="112">
        <f>(('İşçilik Parametreleri'!$B$10/MAX(1,'İşçilik Parametreleri'!$B$11)+'İşçilik Parametreleri'!$B$12+'İşçilik Parametreleri'!$B$13)*H25+F25*'İşçilik Parametreleri'!$B$14)*'İşçilik Parametreleri'!$B$15*E25</f>
        <v>6.5549999999999997</v>
      </c>
    </row>
    <row r="26" spans="1:9" ht="15" customHeight="1" x14ac:dyDescent="0.25">
      <c r="A26" s="105" t="s">
        <v>479</v>
      </c>
      <c r="B26" s="105" t="s">
        <v>739</v>
      </c>
      <c r="C26" s="105">
        <v>1</v>
      </c>
      <c r="D26" s="105" t="s">
        <v>740</v>
      </c>
      <c r="E26" s="105">
        <v>1</v>
      </c>
      <c r="F26" s="105">
        <v>2</v>
      </c>
      <c r="G26" s="110">
        <v>6.835</v>
      </c>
      <c r="H26" s="111">
        <f>VLOOKUP(G26,'İşçilik Parametreleri'!$E$5:$F$12,2,TRUE())</f>
        <v>2.25</v>
      </c>
      <c r="I26" s="112">
        <f>(('İşçilik Parametreleri'!$B$10/MAX(1,'İşçilik Parametreleri'!$B$11)+'İşçilik Parametreleri'!$B$12+'İşçilik Parametreleri'!$B$13)*H26+F26*'İşçilik Parametreleri'!$B$14)*'İşçilik Parametreleri'!$B$15*E26</f>
        <v>11.873750000000001</v>
      </c>
    </row>
    <row r="27" spans="1:9" ht="15" customHeight="1" x14ac:dyDescent="0.25">
      <c r="A27" s="105" t="s">
        <v>499</v>
      </c>
      <c r="B27" s="105" t="s">
        <v>741</v>
      </c>
      <c r="C27" s="105">
        <v>1</v>
      </c>
      <c r="D27" s="105" t="s">
        <v>740</v>
      </c>
      <c r="E27" s="105">
        <v>1</v>
      </c>
      <c r="F27" s="105">
        <v>2</v>
      </c>
      <c r="G27" s="110">
        <v>2.6909999999999998</v>
      </c>
      <c r="H27" s="111">
        <f>VLOOKUP(G27,'İşçilik Parametreleri'!$E$5:$F$12,2,TRUE())</f>
        <v>1</v>
      </c>
      <c r="I27" s="112">
        <f>(('İşçilik Parametreleri'!$B$10/MAX(1,'İşçilik Parametreleri'!$B$11)+'İşçilik Parametreleri'!$B$12+'İşçilik Parametreleri'!$B$13)*H27+F27*'İşçilik Parametreleri'!$B$14)*'İşçilik Parametreleri'!$B$15*E27</f>
        <v>6.5549999999999997</v>
      </c>
    </row>
    <row r="28" spans="1:9" ht="15" customHeight="1" x14ac:dyDescent="0.25">
      <c r="A28" s="105" t="s">
        <v>464</v>
      </c>
      <c r="B28" s="105" t="s">
        <v>742</v>
      </c>
      <c r="C28" s="105">
        <v>2</v>
      </c>
      <c r="D28" s="105" t="s">
        <v>743</v>
      </c>
      <c r="E28" s="105">
        <v>1</v>
      </c>
      <c r="F28" s="105">
        <v>2</v>
      </c>
      <c r="G28" s="110">
        <v>1.613</v>
      </c>
      <c r="H28" s="111">
        <f>VLOOKUP(G28,'İşçilik Parametreleri'!$E$5:$F$12,2,TRUE())</f>
        <v>1</v>
      </c>
      <c r="I28" s="112">
        <f>(('İşçilik Parametreleri'!$B$10/MAX(1,'İşçilik Parametreleri'!$B$11)+'İşçilik Parametreleri'!$B$12+'İşçilik Parametreleri'!$B$13)*H28+F28*'İşçilik Parametreleri'!$B$14)*'İşçilik Parametreleri'!$B$15*E28</f>
        <v>6.5549999999999997</v>
      </c>
    </row>
    <row r="29" spans="1:9" ht="15" customHeight="1" x14ac:dyDescent="0.25">
      <c r="A29" s="105" t="s">
        <v>459</v>
      </c>
      <c r="B29" s="105" t="s">
        <v>744</v>
      </c>
      <c r="C29" s="105">
        <v>1</v>
      </c>
      <c r="D29" s="105" t="s">
        <v>700</v>
      </c>
      <c r="E29" s="105">
        <v>1</v>
      </c>
      <c r="F29" s="105">
        <v>2</v>
      </c>
      <c r="G29" s="110">
        <v>6.6630000000000003</v>
      </c>
      <c r="H29" s="111">
        <f>VLOOKUP(G29,'İşçilik Parametreleri'!$E$5:$F$12,2,TRUE())</f>
        <v>2.25</v>
      </c>
      <c r="I29" s="112">
        <f>(('İşçilik Parametreleri'!$B$10/MAX(1,'İşçilik Parametreleri'!$B$11)+'İşçilik Parametreleri'!$B$12+'İşçilik Parametreleri'!$B$13)*H29+F29*'İşçilik Parametreleri'!$B$14)*'İşçilik Parametreleri'!$B$15*E29</f>
        <v>11.873750000000001</v>
      </c>
    </row>
    <row r="30" spans="1:9" ht="15" customHeight="1" x14ac:dyDescent="0.25">
      <c r="A30" s="105" t="s">
        <v>459</v>
      </c>
      <c r="B30" s="105" t="s">
        <v>745</v>
      </c>
      <c r="C30" s="105">
        <v>2</v>
      </c>
      <c r="D30" s="105" t="s">
        <v>700</v>
      </c>
      <c r="E30" s="105">
        <v>1</v>
      </c>
      <c r="F30" s="105">
        <v>1</v>
      </c>
      <c r="G30" s="110">
        <v>1.2050000000000001</v>
      </c>
      <c r="H30" s="111">
        <f>VLOOKUP(G30,'İşçilik Parametreleri'!$E$5:$F$12,2,TRUE())</f>
        <v>1</v>
      </c>
      <c r="I30" s="112">
        <f>(('İşçilik Parametreleri'!$B$10/MAX(1,'İşçilik Parametreleri'!$B$11)+'İşçilik Parametreleri'!$B$12+'İşçilik Parametreleri'!$B$13)*H30+F30*'İşçilik Parametreleri'!$B$14)*'İşçilik Parametreleri'!$B$15*E30</f>
        <v>5.4049999999999994</v>
      </c>
    </row>
    <row r="31" spans="1:9" ht="15" customHeight="1" x14ac:dyDescent="0.25">
      <c r="A31" s="105" t="s">
        <v>459</v>
      </c>
      <c r="B31" s="105" t="s">
        <v>746</v>
      </c>
      <c r="C31" s="105">
        <v>3</v>
      </c>
      <c r="D31" s="105" t="s">
        <v>700</v>
      </c>
      <c r="E31" s="105">
        <v>1</v>
      </c>
      <c r="F31" s="105">
        <v>1</v>
      </c>
      <c r="G31" s="110">
        <v>0.20799999999999999</v>
      </c>
      <c r="H31" s="111">
        <f>VLOOKUP(G31,'İşçilik Parametreleri'!$E$5:$F$12,2,TRUE())</f>
        <v>1</v>
      </c>
      <c r="I31" s="112">
        <f>(('İşçilik Parametreleri'!$B$10/MAX(1,'İşçilik Parametreleri'!$B$11)+'İşçilik Parametreleri'!$B$12+'İşçilik Parametreleri'!$B$13)*H31+F31*'İşçilik Parametreleri'!$B$14)*'İşçilik Parametreleri'!$B$15*E31</f>
        <v>5.4049999999999994</v>
      </c>
    </row>
    <row r="32" spans="1:9" ht="15" customHeight="1" x14ac:dyDescent="0.25">
      <c r="A32" s="105" t="s">
        <v>459</v>
      </c>
      <c r="B32" s="105" t="s">
        <v>747</v>
      </c>
      <c r="C32" s="105">
        <v>4</v>
      </c>
      <c r="D32" s="105" t="s">
        <v>700</v>
      </c>
      <c r="E32" s="105">
        <v>1</v>
      </c>
      <c r="F32" s="105">
        <v>1</v>
      </c>
      <c r="G32" s="110">
        <v>0.20799999999999999</v>
      </c>
      <c r="H32" s="111">
        <f>VLOOKUP(G32,'İşçilik Parametreleri'!$E$5:$F$12,2,TRUE())</f>
        <v>1</v>
      </c>
      <c r="I32" s="112">
        <f>(('İşçilik Parametreleri'!$B$10/MAX(1,'İşçilik Parametreleri'!$B$11)+'İşçilik Parametreleri'!$B$12+'İşçilik Parametreleri'!$B$13)*H32+F32*'İşçilik Parametreleri'!$B$14)*'İşçilik Parametreleri'!$B$15*E32</f>
        <v>5.4049999999999994</v>
      </c>
    </row>
    <row r="33" spans="1:9" ht="15" customHeight="1" x14ac:dyDescent="0.25">
      <c r="A33" s="105" t="s">
        <v>509</v>
      </c>
      <c r="B33" s="105" t="s">
        <v>748</v>
      </c>
      <c r="C33" s="105">
        <v>1</v>
      </c>
      <c r="D33" s="105" t="s">
        <v>749</v>
      </c>
      <c r="E33" s="105">
        <v>1</v>
      </c>
      <c r="F33" s="105">
        <v>1</v>
      </c>
      <c r="G33" s="110">
        <v>4.4210000000000003</v>
      </c>
      <c r="H33" s="111">
        <f>VLOOKUP(G33,'İşçilik Parametreleri'!$E$5:$F$12,2,TRUE())</f>
        <v>1</v>
      </c>
      <c r="I33" s="112">
        <f>(('İşçilik Parametreleri'!$B$10/MAX(1,'İşçilik Parametreleri'!$B$11)+'İşçilik Parametreleri'!$B$12+'İşçilik Parametreleri'!$B$13)*H33+F33*'İşçilik Parametreleri'!$B$14)*'İşçilik Parametreleri'!$B$15*E33</f>
        <v>5.4049999999999994</v>
      </c>
    </row>
    <row r="34" spans="1:9" ht="15" customHeight="1" x14ac:dyDescent="0.25">
      <c r="A34" s="105" t="s">
        <v>528</v>
      </c>
      <c r="B34" s="105" t="s">
        <v>750</v>
      </c>
      <c r="C34" s="105">
        <v>1</v>
      </c>
      <c r="D34" s="105" t="s">
        <v>751</v>
      </c>
      <c r="E34" s="105">
        <v>1</v>
      </c>
      <c r="F34" s="105">
        <v>2</v>
      </c>
      <c r="G34" s="110">
        <v>2.5579999999999998</v>
      </c>
      <c r="H34" s="111">
        <f>VLOOKUP(G34,'İşçilik Parametreleri'!$E$5:$F$12,2,TRUE())</f>
        <v>1</v>
      </c>
      <c r="I34" s="112">
        <f>(('İşçilik Parametreleri'!$B$10/MAX(1,'İşçilik Parametreleri'!$B$11)+'İşçilik Parametreleri'!$B$12+'İşçilik Parametreleri'!$B$13)*H34+F34*'İşçilik Parametreleri'!$B$14)*'İşçilik Parametreleri'!$B$15*E34</f>
        <v>6.5549999999999997</v>
      </c>
    </row>
    <row r="35" spans="1:9" ht="15" customHeight="1" x14ac:dyDescent="0.25">
      <c r="A35" s="105" t="s">
        <v>615</v>
      </c>
      <c r="B35" s="105" t="s">
        <v>752</v>
      </c>
      <c r="C35" s="105">
        <v>99</v>
      </c>
      <c r="D35" s="105" t="s">
        <v>700</v>
      </c>
      <c r="E35" s="105">
        <v>1</v>
      </c>
      <c r="F35" s="105">
        <v>1</v>
      </c>
      <c r="G35" s="110">
        <v>6.3310000000000004</v>
      </c>
      <c r="H35" s="111">
        <f>VLOOKUP(G35,'İşçilik Parametreleri'!$E$5:$F$12,2,TRUE())</f>
        <v>2.25</v>
      </c>
      <c r="I35" s="112">
        <f>(('İşçilik Parametreleri'!$B$10/MAX(1,'İşçilik Parametreleri'!$B$11)+'İşçilik Parametreleri'!$B$12+'İşçilik Parametreleri'!$B$13)*H35+F35*'İşçilik Parametreleri'!$B$14)*'İşçilik Parametreleri'!$B$15*E35</f>
        <v>10.723750000000001</v>
      </c>
    </row>
    <row r="36" spans="1:9" ht="15" customHeight="1" x14ac:dyDescent="0.25">
      <c r="A36" s="105" t="s">
        <v>566</v>
      </c>
      <c r="B36" s="105" t="s">
        <v>753</v>
      </c>
      <c r="C36" s="105">
        <v>1</v>
      </c>
      <c r="D36" s="105" t="s">
        <v>751</v>
      </c>
      <c r="E36" s="105">
        <v>1</v>
      </c>
      <c r="F36" s="105">
        <v>2</v>
      </c>
      <c r="G36" s="110">
        <v>2.2839999999999998</v>
      </c>
      <c r="H36" s="111">
        <f>VLOOKUP(G36,'İşçilik Parametreleri'!$E$5:$F$12,2,TRUE())</f>
        <v>1</v>
      </c>
      <c r="I36" s="112">
        <f>(('İşçilik Parametreleri'!$B$10/MAX(1,'İşçilik Parametreleri'!$B$11)+'İşçilik Parametreleri'!$B$12+'İşçilik Parametreleri'!$B$13)*H36+F36*'İşçilik Parametreleri'!$B$14)*'İşçilik Parametreleri'!$B$15*E36</f>
        <v>6.5549999999999997</v>
      </c>
    </row>
    <row r="37" spans="1:9" ht="15" customHeight="1" x14ac:dyDescent="0.25">
      <c r="A37" s="105" t="s">
        <v>623</v>
      </c>
      <c r="B37" s="105" t="s">
        <v>754</v>
      </c>
      <c r="C37" s="105">
        <v>1</v>
      </c>
      <c r="D37" s="105" t="s">
        <v>755</v>
      </c>
      <c r="E37" s="105">
        <v>1</v>
      </c>
      <c r="F37" s="105">
        <v>2</v>
      </c>
      <c r="G37" s="110">
        <v>2.5219999999999998</v>
      </c>
      <c r="H37" s="111">
        <f>VLOOKUP(G37,'İşçilik Parametreleri'!$E$5:$F$12,2,TRUE())</f>
        <v>1</v>
      </c>
      <c r="I37" s="112">
        <f>(('İşçilik Parametreleri'!$B$10/MAX(1,'İşçilik Parametreleri'!$B$11)+'İşçilik Parametreleri'!$B$12+'İşçilik Parametreleri'!$B$13)*H37+F37*'İşçilik Parametreleri'!$B$14)*'İşçilik Parametreleri'!$B$15*E37</f>
        <v>6.5549999999999997</v>
      </c>
    </row>
    <row r="38" spans="1:9" ht="15" customHeight="1" x14ac:dyDescent="0.25">
      <c r="A38" s="105" t="s">
        <v>510</v>
      </c>
      <c r="B38" s="105" t="s">
        <v>756</v>
      </c>
      <c r="C38" s="105">
        <v>3</v>
      </c>
      <c r="D38" s="105" t="s">
        <v>757</v>
      </c>
      <c r="E38" s="105">
        <v>1</v>
      </c>
      <c r="F38" s="105">
        <v>2</v>
      </c>
      <c r="G38" s="110">
        <v>5.4450000000000003</v>
      </c>
      <c r="H38" s="111">
        <f>VLOOKUP(G38,'İşçilik Parametreleri'!$E$5:$F$12,2,TRUE())</f>
        <v>2.25</v>
      </c>
      <c r="I38" s="112">
        <f>(('İşçilik Parametreleri'!$B$10/MAX(1,'İşçilik Parametreleri'!$B$11)+'İşçilik Parametreleri'!$B$12+'İşçilik Parametreleri'!$B$13)*H38+F38*'İşçilik Parametreleri'!$B$14)*'İşçilik Parametreleri'!$B$15*E38</f>
        <v>11.873750000000001</v>
      </c>
    </row>
    <row r="39" spans="1:9" ht="15" customHeight="1" x14ac:dyDescent="0.25">
      <c r="A39" s="105" t="s">
        <v>510</v>
      </c>
      <c r="B39" s="105" t="s">
        <v>758</v>
      </c>
      <c r="C39" s="105">
        <v>4</v>
      </c>
      <c r="D39" s="105" t="s">
        <v>759</v>
      </c>
      <c r="E39" s="105">
        <v>1</v>
      </c>
      <c r="F39" s="105">
        <v>2</v>
      </c>
      <c r="G39" s="110">
        <v>5.1180000000000003</v>
      </c>
      <c r="H39" s="111">
        <f>VLOOKUP(G39,'İşçilik Parametreleri'!$E$5:$F$12,2,TRUE())</f>
        <v>2.25</v>
      </c>
      <c r="I39" s="112">
        <f>(('İşçilik Parametreleri'!$B$10/MAX(1,'İşçilik Parametreleri'!$B$11)+'İşçilik Parametreleri'!$B$12+'İşçilik Parametreleri'!$B$13)*H39+F39*'İşçilik Parametreleri'!$B$14)*'İşçilik Parametreleri'!$B$15*E39</f>
        <v>11.873750000000001</v>
      </c>
    </row>
    <row r="40" spans="1:9" ht="15" customHeight="1" x14ac:dyDescent="0.25">
      <c r="A40" s="105" t="s">
        <v>510</v>
      </c>
      <c r="B40" s="105" t="s">
        <v>760</v>
      </c>
      <c r="C40" s="105">
        <v>5</v>
      </c>
      <c r="D40" s="105" t="s">
        <v>761</v>
      </c>
      <c r="E40" s="105">
        <v>1</v>
      </c>
      <c r="F40" s="105">
        <v>4</v>
      </c>
      <c r="G40" s="110">
        <v>5.4340000000000002</v>
      </c>
      <c r="H40" s="111">
        <f>VLOOKUP(G40,'İşçilik Parametreleri'!$E$5:$F$12,2,TRUE())</f>
        <v>2.25</v>
      </c>
      <c r="I40" s="112">
        <f>(('İşçilik Parametreleri'!$B$10/MAX(1,'İşçilik Parametreleri'!$B$11)+'İşçilik Parametreleri'!$B$12+'İşçilik Parametreleri'!$B$13)*H40+F40*'İşçilik Parametreleri'!$B$14)*'İşçilik Parametreleri'!$B$15*E40</f>
        <v>14.17375</v>
      </c>
    </row>
    <row r="41" spans="1:9" ht="15" customHeight="1" x14ac:dyDescent="0.25">
      <c r="A41" s="105" t="s">
        <v>510</v>
      </c>
      <c r="B41" s="105" t="s">
        <v>762</v>
      </c>
      <c r="C41" s="105">
        <v>6</v>
      </c>
      <c r="D41" s="105" t="s">
        <v>763</v>
      </c>
      <c r="E41" s="105">
        <v>1</v>
      </c>
      <c r="F41" s="105">
        <v>6</v>
      </c>
      <c r="G41" s="110">
        <v>4.3460000000000001</v>
      </c>
      <c r="H41" s="111">
        <f>VLOOKUP(G41,'İşçilik Parametreleri'!$E$5:$F$12,2,TRUE())</f>
        <v>1</v>
      </c>
      <c r="I41" s="112">
        <f>(('İşçilik Parametreleri'!$B$10/MAX(1,'İşçilik Parametreleri'!$B$11)+'İşçilik Parametreleri'!$B$12+'İşçilik Parametreleri'!$B$13)*H41+F41*'İşçilik Parametreleri'!$B$14)*'İşçilik Parametreleri'!$B$15*E41</f>
        <v>11.154999999999998</v>
      </c>
    </row>
    <row r="42" spans="1:9" ht="15" customHeight="1" x14ac:dyDescent="0.25">
      <c r="A42" s="105" t="s">
        <v>532</v>
      </c>
      <c r="B42" s="105" t="s">
        <v>764</v>
      </c>
      <c r="C42" s="105">
        <v>1</v>
      </c>
      <c r="D42" s="105" t="s">
        <v>749</v>
      </c>
      <c r="E42" s="105">
        <v>1</v>
      </c>
      <c r="F42" s="105">
        <v>2</v>
      </c>
      <c r="G42" s="110">
        <v>1.38</v>
      </c>
      <c r="H42" s="111">
        <f>VLOOKUP(G42,'İşçilik Parametreleri'!$E$5:$F$12,2,TRUE())</f>
        <v>1</v>
      </c>
      <c r="I42" s="112">
        <f>(('İşçilik Parametreleri'!$B$10/MAX(1,'İşçilik Parametreleri'!$B$11)+'İşçilik Parametreleri'!$B$12+'İşçilik Parametreleri'!$B$13)*H42+F42*'İşçilik Parametreleri'!$B$14)*'İşçilik Parametreleri'!$B$15*E42</f>
        <v>6.5549999999999997</v>
      </c>
    </row>
    <row r="43" spans="1:9" ht="15" customHeight="1" x14ac:dyDescent="0.25">
      <c r="A43" s="105" t="s">
        <v>558</v>
      </c>
      <c r="B43" s="105" t="s">
        <v>765</v>
      </c>
      <c r="C43" s="105">
        <v>2</v>
      </c>
      <c r="D43" s="105" t="s">
        <v>766</v>
      </c>
      <c r="E43" s="105">
        <v>1</v>
      </c>
      <c r="F43" s="105">
        <v>1</v>
      </c>
      <c r="G43" s="110">
        <v>0.90900000000000003</v>
      </c>
      <c r="H43" s="111">
        <f>VLOOKUP(G43,'İşçilik Parametreleri'!$E$5:$F$12,2,TRUE())</f>
        <v>1</v>
      </c>
      <c r="I43" s="112">
        <f>(('İşçilik Parametreleri'!$B$10/MAX(1,'İşçilik Parametreleri'!$B$11)+'İşçilik Parametreleri'!$B$12+'İşçilik Parametreleri'!$B$13)*H43+F43*'İşçilik Parametreleri'!$B$14)*'İşçilik Parametreleri'!$B$15*E43</f>
        <v>5.4049999999999994</v>
      </c>
    </row>
    <row r="44" spans="1:9" ht="15" customHeight="1" x14ac:dyDescent="0.25">
      <c r="A44" s="105" t="s">
        <v>527</v>
      </c>
      <c r="B44" s="105" t="s">
        <v>767</v>
      </c>
      <c r="C44" s="105">
        <v>1</v>
      </c>
      <c r="D44" s="105" t="s">
        <v>700</v>
      </c>
      <c r="E44" s="105">
        <v>1</v>
      </c>
      <c r="F44" s="105">
        <v>2</v>
      </c>
      <c r="G44" s="110">
        <v>19.481999999999999</v>
      </c>
      <c r="H44" s="111">
        <f>VLOOKUP(G44,'İşçilik Parametreleri'!$E$5:$F$12,2,TRUE())</f>
        <v>2.25</v>
      </c>
      <c r="I44" s="112">
        <f>(('İşçilik Parametreleri'!$B$10/MAX(1,'İşçilik Parametreleri'!$B$11)+'İşçilik Parametreleri'!$B$12+'İşçilik Parametreleri'!$B$13)*H44+F44*'İşçilik Parametreleri'!$B$14)*'İşçilik Parametreleri'!$B$15*E44</f>
        <v>11.873750000000001</v>
      </c>
    </row>
    <row r="45" spans="1:9" ht="15" customHeight="1" x14ac:dyDescent="0.25">
      <c r="A45" s="105" t="s">
        <v>527</v>
      </c>
      <c r="B45" s="105" t="s">
        <v>768</v>
      </c>
      <c r="C45" s="105">
        <v>3</v>
      </c>
      <c r="D45" s="105" t="s">
        <v>700</v>
      </c>
      <c r="E45" s="105">
        <v>1</v>
      </c>
      <c r="F45" s="105">
        <v>2</v>
      </c>
      <c r="G45" s="110">
        <v>3.7749999999999999</v>
      </c>
      <c r="H45" s="111">
        <f>VLOOKUP(G45,'İşçilik Parametreleri'!$E$5:$F$12,2,TRUE())</f>
        <v>1</v>
      </c>
      <c r="I45" s="112">
        <f>(('İşçilik Parametreleri'!$B$10/MAX(1,'İşçilik Parametreleri'!$B$11)+'İşçilik Parametreleri'!$B$12+'İşçilik Parametreleri'!$B$13)*H45+F45*'İşçilik Parametreleri'!$B$14)*'İşçilik Parametreleri'!$B$15*E45</f>
        <v>6.5549999999999997</v>
      </c>
    </row>
    <row r="46" spans="1:9" ht="15" customHeight="1" x14ac:dyDescent="0.25">
      <c r="A46" s="105" t="s">
        <v>514</v>
      </c>
      <c r="B46" s="105" t="s">
        <v>769</v>
      </c>
      <c r="C46" s="105">
        <v>1</v>
      </c>
      <c r="D46" s="105" t="s">
        <v>749</v>
      </c>
      <c r="E46" s="105">
        <v>1</v>
      </c>
      <c r="F46" s="105">
        <v>2</v>
      </c>
      <c r="G46" s="110">
        <v>1.4410000000000001</v>
      </c>
      <c r="H46" s="111">
        <f>VLOOKUP(G46,'İşçilik Parametreleri'!$E$5:$F$12,2,TRUE())</f>
        <v>1</v>
      </c>
      <c r="I46" s="112">
        <f>(('İşçilik Parametreleri'!$B$10/MAX(1,'İşçilik Parametreleri'!$B$11)+'İşçilik Parametreleri'!$B$12+'İşçilik Parametreleri'!$B$13)*H46+F46*'İşçilik Parametreleri'!$B$14)*'İşçilik Parametreleri'!$B$15*E46</f>
        <v>6.5549999999999997</v>
      </c>
    </row>
    <row r="47" spans="1:9" ht="15" customHeight="1" x14ac:dyDescent="0.25">
      <c r="A47" s="105" t="s">
        <v>514</v>
      </c>
      <c r="B47" s="105" t="s">
        <v>770</v>
      </c>
      <c r="C47" s="105">
        <v>2</v>
      </c>
      <c r="D47" s="105" t="s">
        <v>749</v>
      </c>
      <c r="E47" s="105">
        <v>2</v>
      </c>
      <c r="F47" s="105">
        <v>1</v>
      </c>
      <c r="G47" s="110">
        <v>0.25900000000000001</v>
      </c>
      <c r="H47" s="111">
        <f>VLOOKUP(G47,'İşçilik Parametreleri'!$E$5:$F$12,2,TRUE())</f>
        <v>1</v>
      </c>
      <c r="I47" s="112">
        <f>(('İşçilik Parametreleri'!$B$10/MAX(1,'İşçilik Parametreleri'!$B$11)+'İşçilik Parametreleri'!$B$12+'İşçilik Parametreleri'!$B$13)*H47+F47*'İşçilik Parametreleri'!$B$14)*'İşçilik Parametreleri'!$B$15*E47</f>
        <v>10.809999999999999</v>
      </c>
    </row>
    <row r="48" spans="1:9" ht="15" customHeight="1" x14ac:dyDescent="0.25">
      <c r="A48" s="105" t="s">
        <v>534</v>
      </c>
      <c r="B48" s="105" t="s">
        <v>771</v>
      </c>
      <c r="C48" s="105">
        <v>1</v>
      </c>
      <c r="D48" s="105" t="s">
        <v>772</v>
      </c>
      <c r="E48" s="105">
        <v>1</v>
      </c>
      <c r="F48" s="105">
        <v>2</v>
      </c>
      <c r="G48" s="110">
        <v>0.83699999999999997</v>
      </c>
      <c r="H48" s="111">
        <f>VLOOKUP(G48,'İşçilik Parametreleri'!$E$5:$F$12,2,TRUE())</f>
        <v>1</v>
      </c>
      <c r="I48" s="112">
        <f>(('İşçilik Parametreleri'!$B$10/MAX(1,'İşçilik Parametreleri'!$B$11)+'İşçilik Parametreleri'!$B$12+'İşçilik Parametreleri'!$B$13)*H48+F48*'İşçilik Parametreleri'!$B$14)*'İşçilik Parametreleri'!$B$15*E48</f>
        <v>6.5549999999999997</v>
      </c>
    </row>
    <row r="49" spans="1:9" ht="15" customHeight="1" x14ac:dyDescent="0.25">
      <c r="A49" s="105" t="s">
        <v>524</v>
      </c>
      <c r="B49" s="105" t="s">
        <v>773</v>
      </c>
      <c r="C49" s="105">
        <v>1</v>
      </c>
      <c r="D49" s="105" t="s">
        <v>774</v>
      </c>
      <c r="E49" s="105">
        <v>1</v>
      </c>
      <c r="F49" s="105">
        <v>4</v>
      </c>
      <c r="G49" s="110">
        <v>3.8679999999999999</v>
      </c>
      <c r="H49" s="111">
        <f>VLOOKUP(G49,'İşçilik Parametreleri'!$E$5:$F$12,2,TRUE())</f>
        <v>1</v>
      </c>
      <c r="I49" s="112">
        <f>(('İşçilik Parametreleri'!$B$10/MAX(1,'İşçilik Parametreleri'!$B$11)+'İşçilik Parametreleri'!$B$12+'İşçilik Parametreleri'!$B$13)*H49+F49*'İşçilik Parametreleri'!$B$14)*'İşçilik Parametreleri'!$B$15*E49</f>
        <v>8.8549999999999986</v>
      </c>
    </row>
    <row r="50" spans="1:9" ht="15" customHeight="1" x14ac:dyDescent="0.25">
      <c r="A50" s="105" t="s">
        <v>524</v>
      </c>
      <c r="B50" s="105" t="s">
        <v>775</v>
      </c>
      <c r="C50" s="105">
        <v>2</v>
      </c>
      <c r="D50" s="105" t="s">
        <v>774</v>
      </c>
      <c r="E50" s="105">
        <v>1</v>
      </c>
      <c r="F50" s="105">
        <v>2</v>
      </c>
      <c r="G50" s="110">
        <v>0.55300000000000005</v>
      </c>
      <c r="H50" s="111">
        <f>VLOOKUP(G50,'İşçilik Parametreleri'!$E$5:$F$12,2,TRUE())</f>
        <v>1</v>
      </c>
      <c r="I50" s="112">
        <f>(('İşçilik Parametreleri'!$B$10/MAX(1,'İşçilik Parametreleri'!$B$11)+'İşçilik Parametreleri'!$B$12+'İşçilik Parametreleri'!$B$13)*H50+F50*'İşçilik Parametreleri'!$B$14)*'İşçilik Parametreleri'!$B$15*E50</f>
        <v>6.5549999999999997</v>
      </c>
    </row>
    <row r="51" spans="1:9" ht="15" customHeight="1" x14ac:dyDescent="0.25">
      <c r="A51" s="105" t="s">
        <v>542</v>
      </c>
      <c r="B51" s="105" t="s">
        <v>776</v>
      </c>
      <c r="C51" s="105">
        <v>3</v>
      </c>
      <c r="D51" s="105" t="s">
        <v>777</v>
      </c>
      <c r="E51" s="105">
        <v>1</v>
      </c>
      <c r="F51" s="105">
        <v>1</v>
      </c>
      <c r="G51" s="110">
        <v>10.536</v>
      </c>
      <c r="H51" s="111">
        <f>VLOOKUP(G51,'İşçilik Parametreleri'!$E$5:$F$12,2,TRUE())</f>
        <v>2.25</v>
      </c>
      <c r="I51" s="112">
        <f>(('İşçilik Parametreleri'!$B$10/MAX(1,'İşçilik Parametreleri'!$B$11)+'İşçilik Parametreleri'!$B$12+'İşçilik Parametreleri'!$B$13)*H51+F51*'İşçilik Parametreleri'!$B$14)*'İşçilik Parametreleri'!$B$15*E51</f>
        <v>10.723750000000001</v>
      </c>
    </row>
    <row r="52" spans="1:9" ht="15" customHeight="1" x14ac:dyDescent="0.25">
      <c r="A52" s="105" t="s">
        <v>543</v>
      </c>
      <c r="B52" s="105" t="s">
        <v>776</v>
      </c>
      <c r="C52" s="105">
        <v>1</v>
      </c>
      <c r="D52" s="105" t="s">
        <v>777</v>
      </c>
      <c r="E52" s="105">
        <v>1</v>
      </c>
      <c r="F52" s="105">
        <v>1</v>
      </c>
      <c r="G52" s="110">
        <v>10.536</v>
      </c>
      <c r="H52" s="111">
        <f>VLOOKUP(G52,'İşçilik Parametreleri'!$E$5:$F$12,2,TRUE())</f>
        <v>2.25</v>
      </c>
      <c r="I52" s="112">
        <f>(('İşçilik Parametreleri'!$B$10/MAX(1,'İşçilik Parametreleri'!$B$11)+'İşçilik Parametreleri'!$B$12+'İşçilik Parametreleri'!$B$13)*H52+F52*'İşçilik Parametreleri'!$B$14)*'İşçilik Parametreleri'!$B$15*E52</f>
        <v>10.723750000000001</v>
      </c>
    </row>
    <row r="53" spans="1:9" ht="15" customHeight="1" x14ac:dyDescent="0.25">
      <c r="A53" s="105" t="s">
        <v>463</v>
      </c>
      <c r="B53" s="105" t="s">
        <v>778</v>
      </c>
      <c r="C53" s="105">
        <v>99</v>
      </c>
      <c r="D53" s="105" t="s">
        <v>700</v>
      </c>
      <c r="E53" s="105">
        <v>1</v>
      </c>
      <c r="F53" s="105">
        <v>4</v>
      </c>
      <c r="G53" s="110">
        <v>25.754000000000001</v>
      </c>
      <c r="H53" s="111">
        <f>VLOOKUP(G53,'İşçilik Parametreleri'!$E$5:$F$12,2,TRUE())</f>
        <v>14</v>
      </c>
      <c r="I53" s="112">
        <f>(('İşçilik Parametreleri'!$B$10/MAX(1,'İşçilik Parametreleri'!$B$11)+'İşçilik Parametreleri'!$B$12+'İşçilik Parametreleri'!$B$13)*H53+F53*'İşçilik Parametreleri'!$B$14)*'İşçilik Parametreleri'!$B$15*E53</f>
        <v>64.17</v>
      </c>
    </row>
    <row r="54" spans="1:9" ht="15" customHeight="1" x14ac:dyDescent="0.25">
      <c r="A54" s="105" t="s">
        <v>463</v>
      </c>
      <c r="B54" s="105" t="s">
        <v>779</v>
      </c>
      <c r="C54" s="105">
        <v>99</v>
      </c>
      <c r="D54" s="105" t="s">
        <v>700</v>
      </c>
      <c r="E54" s="105">
        <v>2</v>
      </c>
      <c r="F54" s="105">
        <v>4</v>
      </c>
      <c r="G54" s="110">
        <v>13.808</v>
      </c>
      <c r="H54" s="111">
        <f>VLOOKUP(G54,'İşçilik Parametreleri'!$E$5:$F$12,2,TRUE())</f>
        <v>2.25</v>
      </c>
      <c r="I54" s="112">
        <f>(('İşçilik Parametreleri'!$B$10/MAX(1,'İşçilik Parametreleri'!$B$11)+'İşçilik Parametreleri'!$B$12+'İşçilik Parametreleri'!$B$13)*H54+F54*'İşçilik Parametreleri'!$B$14)*'İşçilik Parametreleri'!$B$15*E54</f>
        <v>28.3475</v>
      </c>
    </row>
    <row r="55" spans="1:9" ht="15" customHeight="1" x14ac:dyDescent="0.25">
      <c r="A55" s="105" t="s">
        <v>463</v>
      </c>
      <c r="B55" s="105" t="s">
        <v>780</v>
      </c>
      <c r="C55" s="105">
        <v>99</v>
      </c>
      <c r="D55" s="105" t="s">
        <v>700</v>
      </c>
      <c r="E55" s="105">
        <v>2</v>
      </c>
      <c r="F55" s="105">
        <v>4</v>
      </c>
      <c r="G55" s="110">
        <v>8.0890000000000004</v>
      </c>
      <c r="H55" s="111">
        <f>VLOOKUP(G55,'İşçilik Parametreleri'!$E$5:$F$12,2,TRUE())</f>
        <v>2.25</v>
      </c>
      <c r="I55" s="112">
        <f>(('İşçilik Parametreleri'!$B$10/MAX(1,'İşçilik Parametreleri'!$B$11)+'İşçilik Parametreleri'!$B$12+'İşçilik Parametreleri'!$B$13)*H55+F55*'İşçilik Parametreleri'!$B$14)*'İşçilik Parametreleri'!$B$15*E55</f>
        <v>28.3475</v>
      </c>
    </row>
    <row r="56" spans="1:9" ht="15" customHeight="1" x14ac:dyDescent="0.25">
      <c r="A56" s="105" t="s">
        <v>446</v>
      </c>
      <c r="B56" s="105" t="s">
        <v>781</v>
      </c>
      <c r="C56" s="105">
        <v>1</v>
      </c>
      <c r="D56" s="105" t="s">
        <v>782</v>
      </c>
      <c r="E56" s="105">
        <v>1</v>
      </c>
      <c r="F56" s="105">
        <v>1</v>
      </c>
      <c r="G56" s="110">
        <v>2.27</v>
      </c>
      <c r="H56" s="111">
        <f>VLOOKUP(G56,'İşçilik Parametreleri'!$E$5:$F$12,2,TRUE())</f>
        <v>1</v>
      </c>
      <c r="I56" s="112">
        <f>(('İşçilik Parametreleri'!$B$10/MAX(1,'İşçilik Parametreleri'!$B$11)+'İşçilik Parametreleri'!$B$12+'İşçilik Parametreleri'!$B$13)*H56+F56*'İşçilik Parametreleri'!$B$14)*'İşçilik Parametreleri'!$B$15*E56</f>
        <v>5.4049999999999994</v>
      </c>
    </row>
    <row r="57" spans="1:9" ht="15" customHeight="1" x14ac:dyDescent="0.25">
      <c r="A57" s="105" t="s">
        <v>441</v>
      </c>
      <c r="B57" s="105" t="s">
        <v>783</v>
      </c>
      <c r="C57" s="105">
        <v>2</v>
      </c>
      <c r="D57" s="105" t="s">
        <v>784</v>
      </c>
      <c r="E57" s="105">
        <v>2</v>
      </c>
      <c r="F57" s="105">
        <v>2</v>
      </c>
      <c r="G57" s="110">
        <v>0.28399999999999997</v>
      </c>
      <c r="H57" s="111">
        <f>VLOOKUP(G57,'İşçilik Parametreleri'!$E$5:$F$12,2,TRUE())</f>
        <v>1</v>
      </c>
      <c r="I57" s="112">
        <f>(('İşçilik Parametreleri'!$B$10/MAX(1,'İşçilik Parametreleri'!$B$11)+'İşçilik Parametreleri'!$B$12+'İşçilik Parametreleri'!$B$13)*H57+F57*'İşçilik Parametreleri'!$B$14)*'İşçilik Parametreleri'!$B$15*E57</f>
        <v>13.11</v>
      </c>
    </row>
    <row r="58" spans="1:9" ht="15" customHeight="1" x14ac:dyDescent="0.25">
      <c r="A58" s="105" t="s">
        <v>441</v>
      </c>
      <c r="B58" s="105" t="s">
        <v>785</v>
      </c>
      <c r="C58" s="105">
        <v>3</v>
      </c>
      <c r="D58" s="105" t="s">
        <v>786</v>
      </c>
      <c r="E58" s="105">
        <v>3</v>
      </c>
      <c r="F58" s="105">
        <v>2</v>
      </c>
      <c r="G58" s="110">
        <v>0.30199999999999999</v>
      </c>
      <c r="H58" s="111">
        <f>VLOOKUP(G58,'İşçilik Parametreleri'!$E$5:$F$12,2,TRUE())</f>
        <v>1</v>
      </c>
      <c r="I58" s="112">
        <f>(('İşçilik Parametreleri'!$B$10/MAX(1,'İşçilik Parametreleri'!$B$11)+'İşçilik Parametreleri'!$B$12+'İşçilik Parametreleri'!$B$13)*H58+F58*'İşçilik Parametreleri'!$B$14)*'İşçilik Parametreleri'!$B$15*E58</f>
        <v>19.664999999999999</v>
      </c>
    </row>
    <row r="59" spans="1:9" ht="15" customHeight="1" x14ac:dyDescent="0.25">
      <c r="A59" s="105" t="s">
        <v>467</v>
      </c>
      <c r="B59" s="105" t="s">
        <v>787</v>
      </c>
      <c r="C59" s="105">
        <v>3</v>
      </c>
      <c r="D59" s="105" t="s">
        <v>700</v>
      </c>
      <c r="E59" s="105">
        <v>1</v>
      </c>
      <c r="F59" s="105">
        <v>4</v>
      </c>
      <c r="G59" s="110">
        <v>5.5419999999999998</v>
      </c>
      <c r="H59" s="111">
        <f>VLOOKUP(G59,'İşçilik Parametreleri'!$E$5:$F$12,2,TRUE())</f>
        <v>2.25</v>
      </c>
      <c r="I59" s="112">
        <f>(('İşçilik Parametreleri'!$B$10/MAX(1,'İşçilik Parametreleri'!$B$11)+'İşçilik Parametreleri'!$B$12+'İşçilik Parametreleri'!$B$13)*H59+F59*'İşçilik Parametreleri'!$B$14)*'İşçilik Parametreleri'!$B$15*E59</f>
        <v>14.17375</v>
      </c>
    </row>
    <row r="60" spans="1:9" ht="15" customHeight="1" x14ac:dyDescent="0.25">
      <c r="A60" s="105" t="s">
        <v>467</v>
      </c>
      <c r="B60" s="105" t="s">
        <v>788</v>
      </c>
      <c r="C60" s="105">
        <v>4</v>
      </c>
      <c r="D60" s="105" t="s">
        <v>700</v>
      </c>
      <c r="E60" s="105">
        <v>1</v>
      </c>
      <c r="F60" s="105">
        <v>2</v>
      </c>
      <c r="G60" s="110">
        <v>6.8739999999999997</v>
      </c>
      <c r="H60" s="111">
        <f>VLOOKUP(G60,'İşçilik Parametreleri'!$E$5:$F$12,2,TRUE())</f>
        <v>2.25</v>
      </c>
      <c r="I60" s="112">
        <f>(('İşçilik Parametreleri'!$B$10/MAX(1,'İşçilik Parametreleri'!$B$11)+'İşçilik Parametreleri'!$B$12+'İşçilik Parametreleri'!$B$13)*H60+F60*'İşçilik Parametreleri'!$B$14)*'İşçilik Parametreleri'!$B$15*E60</f>
        <v>11.873750000000001</v>
      </c>
    </row>
    <row r="61" spans="1:9" ht="15" customHeight="1" x14ac:dyDescent="0.25">
      <c r="A61" s="105" t="s">
        <v>467</v>
      </c>
      <c r="B61" s="105" t="s">
        <v>789</v>
      </c>
      <c r="C61" s="105">
        <v>5</v>
      </c>
      <c r="D61" s="105" t="s">
        <v>700</v>
      </c>
      <c r="E61" s="105">
        <v>1</v>
      </c>
      <c r="F61" s="105">
        <v>4</v>
      </c>
      <c r="G61" s="110">
        <v>8.2639999999999993</v>
      </c>
      <c r="H61" s="111">
        <f>VLOOKUP(G61,'İşçilik Parametreleri'!$E$5:$F$12,2,TRUE())</f>
        <v>2.25</v>
      </c>
      <c r="I61" s="112">
        <f>(('İşçilik Parametreleri'!$B$10/MAX(1,'İşçilik Parametreleri'!$B$11)+'İşçilik Parametreleri'!$B$12+'İşçilik Parametreleri'!$B$13)*H61+F61*'İşçilik Parametreleri'!$B$14)*'İşçilik Parametreleri'!$B$15*E61</f>
        <v>14.17375</v>
      </c>
    </row>
    <row r="62" spans="1:9" ht="15" customHeight="1" x14ac:dyDescent="0.25">
      <c r="A62" s="105" t="s">
        <v>467</v>
      </c>
      <c r="B62" s="105" t="s">
        <v>790</v>
      </c>
      <c r="C62" s="105">
        <v>6</v>
      </c>
      <c r="D62" s="105" t="s">
        <v>700</v>
      </c>
      <c r="E62" s="105">
        <v>1</v>
      </c>
      <c r="F62" s="105">
        <v>3</v>
      </c>
      <c r="G62" s="110">
        <v>7.7350000000000003</v>
      </c>
      <c r="H62" s="111">
        <f>VLOOKUP(G62,'İşçilik Parametreleri'!$E$5:$F$12,2,TRUE())</f>
        <v>2.25</v>
      </c>
      <c r="I62" s="112">
        <f>(('İşçilik Parametreleri'!$B$10/MAX(1,'İşçilik Parametreleri'!$B$11)+'İşçilik Parametreleri'!$B$12+'İşçilik Parametreleri'!$B$13)*H62+F62*'İşçilik Parametreleri'!$B$14)*'İşçilik Parametreleri'!$B$15*E62</f>
        <v>13.02375</v>
      </c>
    </row>
    <row r="63" spans="1:9" ht="15" customHeight="1" x14ac:dyDescent="0.25">
      <c r="A63" s="105" t="s">
        <v>530</v>
      </c>
      <c r="B63" s="105" t="s">
        <v>791</v>
      </c>
      <c r="C63" s="105">
        <v>1</v>
      </c>
      <c r="D63" s="105" t="s">
        <v>749</v>
      </c>
      <c r="E63" s="105">
        <v>1</v>
      </c>
      <c r="F63" s="105">
        <v>2</v>
      </c>
      <c r="G63" s="110">
        <v>5.3150000000000004</v>
      </c>
      <c r="H63" s="111">
        <f>VLOOKUP(G63,'İşçilik Parametreleri'!$E$5:$F$12,2,TRUE())</f>
        <v>2.25</v>
      </c>
      <c r="I63" s="112">
        <f>(('İşçilik Parametreleri'!$B$10/MAX(1,'İşçilik Parametreleri'!$B$11)+'İşçilik Parametreleri'!$B$12+'İşçilik Parametreleri'!$B$13)*H63+F63*'İşçilik Parametreleri'!$B$14)*'İşçilik Parametreleri'!$B$15*E63</f>
        <v>11.873750000000001</v>
      </c>
    </row>
    <row r="64" spans="1:9" ht="15" customHeight="1" x14ac:dyDescent="0.25">
      <c r="A64" s="105" t="s">
        <v>489</v>
      </c>
      <c r="B64" s="105" t="s">
        <v>792</v>
      </c>
      <c r="C64" s="105">
        <v>2</v>
      </c>
      <c r="D64" s="105" t="s">
        <v>793</v>
      </c>
      <c r="E64" s="105">
        <v>3</v>
      </c>
      <c r="F64" s="105">
        <v>2</v>
      </c>
      <c r="G64" s="110">
        <v>1.1579999999999999</v>
      </c>
      <c r="H64" s="111">
        <f>VLOOKUP(G64,'İşçilik Parametreleri'!$E$5:$F$12,2,TRUE())</f>
        <v>1</v>
      </c>
      <c r="I64" s="112">
        <f>(('İşçilik Parametreleri'!$B$10/MAX(1,'İşçilik Parametreleri'!$B$11)+'İşçilik Parametreleri'!$B$12+'İşçilik Parametreleri'!$B$13)*H64+F64*'İşçilik Parametreleri'!$B$14)*'İşçilik Parametreleri'!$B$15*E64</f>
        <v>19.664999999999999</v>
      </c>
    </row>
    <row r="65" spans="1:9" ht="15" customHeight="1" x14ac:dyDescent="0.25">
      <c r="A65" s="105" t="s">
        <v>618</v>
      </c>
      <c r="B65" s="105" t="s">
        <v>794</v>
      </c>
      <c r="C65" s="105">
        <v>2</v>
      </c>
      <c r="D65" s="105" t="s">
        <v>774</v>
      </c>
      <c r="E65" s="105">
        <v>1</v>
      </c>
      <c r="F65" s="105">
        <v>2</v>
      </c>
      <c r="G65" s="110">
        <v>0.96799999999999997</v>
      </c>
      <c r="H65" s="111">
        <f>VLOOKUP(G65,'İşçilik Parametreleri'!$E$5:$F$12,2,TRUE())</f>
        <v>1</v>
      </c>
      <c r="I65" s="112">
        <f>(('İşçilik Parametreleri'!$B$10/MAX(1,'İşçilik Parametreleri'!$B$11)+'İşçilik Parametreleri'!$B$12+'İşçilik Parametreleri'!$B$13)*H65+F65*'İşçilik Parametreleri'!$B$14)*'İşçilik Parametreleri'!$B$15*E65</f>
        <v>6.5549999999999997</v>
      </c>
    </row>
    <row r="66" spans="1:9" ht="15" customHeight="1" x14ac:dyDescent="0.25">
      <c r="A66" s="105" t="s">
        <v>525</v>
      </c>
      <c r="B66" s="105" t="s">
        <v>795</v>
      </c>
      <c r="C66" s="105">
        <v>1</v>
      </c>
      <c r="D66" s="105" t="s">
        <v>749</v>
      </c>
      <c r="E66" s="105">
        <v>1</v>
      </c>
      <c r="F66" s="105">
        <v>2</v>
      </c>
      <c r="G66" s="110">
        <v>3.5139999999999998</v>
      </c>
      <c r="H66" s="111">
        <f>VLOOKUP(G66,'İşçilik Parametreleri'!$E$5:$F$12,2,TRUE())</f>
        <v>1</v>
      </c>
      <c r="I66" s="112">
        <f>(('İşçilik Parametreleri'!$B$10/MAX(1,'İşçilik Parametreleri'!$B$11)+'İşçilik Parametreleri'!$B$12+'İşçilik Parametreleri'!$B$13)*H66+F66*'İşçilik Parametreleri'!$B$14)*'İşçilik Parametreleri'!$B$15*E66</f>
        <v>6.5549999999999997</v>
      </c>
    </row>
    <row r="67" spans="1:9" ht="15" customHeight="1" x14ac:dyDescent="0.25">
      <c r="A67" s="105" t="s">
        <v>515</v>
      </c>
      <c r="B67" s="105" t="s">
        <v>796</v>
      </c>
      <c r="C67" s="105">
        <v>1</v>
      </c>
      <c r="D67" s="105" t="s">
        <v>749</v>
      </c>
      <c r="E67" s="105">
        <v>1</v>
      </c>
      <c r="F67" s="105">
        <v>2</v>
      </c>
      <c r="G67" s="110">
        <v>1.212</v>
      </c>
      <c r="H67" s="111">
        <f>VLOOKUP(G67,'İşçilik Parametreleri'!$E$5:$F$12,2,TRUE())</f>
        <v>1</v>
      </c>
      <c r="I67" s="112">
        <f>(('İşçilik Parametreleri'!$B$10/MAX(1,'İşçilik Parametreleri'!$B$11)+'İşçilik Parametreleri'!$B$12+'İşçilik Parametreleri'!$B$13)*H67+F67*'İşçilik Parametreleri'!$B$14)*'İşçilik Parametreleri'!$B$15*E67</f>
        <v>6.5549999999999997</v>
      </c>
    </row>
    <row r="68" spans="1:9" ht="15" customHeight="1" x14ac:dyDescent="0.25">
      <c r="A68" s="105" t="s">
        <v>515</v>
      </c>
      <c r="B68" s="105" t="s">
        <v>797</v>
      </c>
      <c r="C68" s="105">
        <v>2</v>
      </c>
      <c r="D68" s="105" t="s">
        <v>774</v>
      </c>
      <c r="E68" s="105">
        <v>2</v>
      </c>
      <c r="F68" s="105">
        <v>1</v>
      </c>
      <c r="G68" s="110">
        <v>0.31</v>
      </c>
      <c r="H68" s="111">
        <f>VLOOKUP(G68,'İşçilik Parametreleri'!$E$5:$F$12,2,TRUE())</f>
        <v>1</v>
      </c>
      <c r="I68" s="112">
        <f>(('İşçilik Parametreleri'!$B$10/MAX(1,'İşçilik Parametreleri'!$B$11)+'İşçilik Parametreleri'!$B$12+'İşçilik Parametreleri'!$B$13)*H68+F68*'İşçilik Parametreleri'!$B$14)*'İşçilik Parametreleri'!$B$15*E68</f>
        <v>10.809999999999999</v>
      </c>
    </row>
    <row r="69" spans="1:9" ht="15" customHeight="1" x14ac:dyDescent="0.25">
      <c r="A69" s="105" t="s">
        <v>612</v>
      </c>
      <c r="B69" s="105" t="s">
        <v>798</v>
      </c>
      <c r="C69" s="105">
        <v>1</v>
      </c>
      <c r="D69" s="105" t="s">
        <v>774</v>
      </c>
      <c r="E69" s="105">
        <v>1</v>
      </c>
      <c r="F69" s="105">
        <v>2</v>
      </c>
      <c r="G69" s="110">
        <v>4.3879999999999999</v>
      </c>
      <c r="H69" s="111">
        <f>VLOOKUP(G69,'İşçilik Parametreleri'!$E$5:$F$12,2,TRUE())</f>
        <v>1</v>
      </c>
      <c r="I69" s="112">
        <f>(('İşçilik Parametreleri'!$B$10/MAX(1,'İşçilik Parametreleri'!$B$11)+'İşçilik Parametreleri'!$B$12+'İşçilik Parametreleri'!$B$13)*H69+F69*'İşçilik Parametreleri'!$B$14)*'İşçilik Parametreleri'!$B$15*E69</f>
        <v>6.5549999999999997</v>
      </c>
    </row>
    <row r="70" spans="1:9" ht="15" customHeight="1" x14ac:dyDescent="0.25">
      <c r="A70" s="105" t="s">
        <v>612</v>
      </c>
      <c r="B70" s="105" t="s">
        <v>799</v>
      </c>
      <c r="C70" s="105">
        <v>5</v>
      </c>
      <c r="D70" s="105" t="s">
        <v>774</v>
      </c>
      <c r="E70" s="105">
        <v>1</v>
      </c>
      <c r="F70" s="105">
        <v>2</v>
      </c>
      <c r="G70" s="110">
        <v>0.86599999999999999</v>
      </c>
      <c r="H70" s="111">
        <f>VLOOKUP(G70,'İşçilik Parametreleri'!$E$5:$F$12,2,TRUE())</f>
        <v>1</v>
      </c>
      <c r="I70" s="112">
        <f>(('İşçilik Parametreleri'!$B$10/MAX(1,'İşçilik Parametreleri'!$B$11)+'İşçilik Parametreleri'!$B$12+'İşçilik Parametreleri'!$B$13)*H70+F70*'İşçilik Parametreleri'!$B$14)*'İşçilik Parametreleri'!$B$15*E70</f>
        <v>6.5549999999999997</v>
      </c>
    </row>
    <row r="71" spans="1:9" ht="15" customHeight="1" x14ac:dyDescent="0.25">
      <c r="A71" s="105" t="s">
        <v>612</v>
      </c>
      <c r="B71" s="105" t="s">
        <v>800</v>
      </c>
      <c r="C71" s="105">
        <v>6</v>
      </c>
      <c r="D71" s="105" t="s">
        <v>774</v>
      </c>
      <c r="E71" s="105">
        <v>1</v>
      </c>
      <c r="F71" s="105">
        <v>2</v>
      </c>
      <c r="G71" s="110">
        <v>0.74199999999999999</v>
      </c>
      <c r="H71" s="111">
        <f>VLOOKUP(G71,'İşçilik Parametreleri'!$E$5:$F$12,2,TRUE())</f>
        <v>1</v>
      </c>
      <c r="I71" s="112">
        <f>(('İşçilik Parametreleri'!$B$10/MAX(1,'İşçilik Parametreleri'!$B$11)+'İşçilik Parametreleri'!$B$12+'İşçilik Parametreleri'!$B$13)*H71+F71*'İşçilik Parametreleri'!$B$14)*'İşçilik Parametreleri'!$B$15*E71</f>
        <v>6.5549999999999997</v>
      </c>
    </row>
    <row r="72" spans="1:9" ht="15" customHeight="1" x14ac:dyDescent="0.25">
      <c r="A72" s="105" t="s">
        <v>599</v>
      </c>
      <c r="B72" s="105" t="s">
        <v>801</v>
      </c>
      <c r="C72" s="105">
        <v>1</v>
      </c>
      <c r="D72" s="105" t="s">
        <v>802</v>
      </c>
      <c r="E72" s="105">
        <v>1</v>
      </c>
      <c r="F72" s="105">
        <v>1</v>
      </c>
      <c r="G72" s="110">
        <v>2.9369999999999998</v>
      </c>
      <c r="H72" s="111">
        <f>VLOOKUP(G72,'İşçilik Parametreleri'!$E$5:$F$12,2,TRUE())</f>
        <v>1</v>
      </c>
      <c r="I72" s="112">
        <f>(('İşçilik Parametreleri'!$B$10/MAX(1,'İşçilik Parametreleri'!$B$11)+'İşçilik Parametreleri'!$B$12+'İşçilik Parametreleri'!$B$13)*H72+F72*'İşçilik Parametreleri'!$B$14)*'İşçilik Parametreleri'!$B$15*E72</f>
        <v>5.4049999999999994</v>
      </c>
    </row>
    <row r="73" spans="1:9" ht="15" customHeight="1" x14ac:dyDescent="0.25">
      <c r="A73" s="105" t="s">
        <v>487</v>
      </c>
      <c r="B73" s="105" t="s">
        <v>803</v>
      </c>
      <c r="C73" s="105">
        <v>4</v>
      </c>
      <c r="D73" s="105" t="s">
        <v>804</v>
      </c>
      <c r="E73" s="105">
        <v>1</v>
      </c>
      <c r="F73" s="105">
        <v>2</v>
      </c>
      <c r="G73" s="110">
        <v>0.38500000000000001</v>
      </c>
      <c r="H73" s="111">
        <f>VLOOKUP(G73,'İşçilik Parametreleri'!$E$5:$F$12,2,TRUE())</f>
        <v>1</v>
      </c>
      <c r="I73" s="112">
        <f>(('İşçilik Parametreleri'!$B$10/MAX(1,'İşçilik Parametreleri'!$B$11)+'İşçilik Parametreleri'!$B$12+'İşçilik Parametreleri'!$B$13)*H73+F73*'İşçilik Parametreleri'!$B$14)*'İşçilik Parametreleri'!$B$15*E73</f>
        <v>6.5549999999999997</v>
      </c>
    </row>
    <row r="74" spans="1:9" ht="15" customHeight="1" x14ac:dyDescent="0.25">
      <c r="A74" s="105" t="s">
        <v>488</v>
      </c>
      <c r="B74" s="105" t="s">
        <v>803</v>
      </c>
      <c r="C74" s="105">
        <v>4</v>
      </c>
      <c r="D74" s="105" t="s">
        <v>804</v>
      </c>
      <c r="E74" s="105">
        <v>1</v>
      </c>
      <c r="F74" s="105">
        <v>2</v>
      </c>
      <c r="G74" s="110">
        <v>0.38500000000000001</v>
      </c>
      <c r="H74" s="111">
        <f>VLOOKUP(G74,'İşçilik Parametreleri'!$E$5:$F$12,2,TRUE())</f>
        <v>1</v>
      </c>
      <c r="I74" s="112">
        <f>(('İşçilik Parametreleri'!$B$10/MAX(1,'İşçilik Parametreleri'!$B$11)+'İşçilik Parametreleri'!$B$12+'İşçilik Parametreleri'!$B$13)*H74+F74*'İşçilik Parametreleri'!$B$14)*'İşçilik Parametreleri'!$B$15*E74</f>
        <v>6.5549999999999997</v>
      </c>
    </row>
    <row r="75" spans="1:9" ht="15" customHeight="1" x14ac:dyDescent="0.25">
      <c r="A75" s="105" t="s">
        <v>609</v>
      </c>
      <c r="B75" s="105" t="s">
        <v>805</v>
      </c>
      <c r="C75" s="105">
        <v>1</v>
      </c>
      <c r="D75" s="105" t="s">
        <v>705</v>
      </c>
      <c r="E75" s="105">
        <v>1</v>
      </c>
      <c r="F75" s="105">
        <v>4</v>
      </c>
      <c r="G75" s="110">
        <v>6.3479999999999999</v>
      </c>
      <c r="H75" s="111">
        <f>VLOOKUP(G75,'İşçilik Parametreleri'!$E$5:$F$12,2,TRUE())</f>
        <v>2.25</v>
      </c>
      <c r="I75" s="112">
        <f>(('İşçilik Parametreleri'!$B$10/MAX(1,'İşçilik Parametreleri'!$B$11)+'İşçilik Parametreleri'!$B$12+'İşçilik Parametreleri'!$B$13)*H75+F75*'İşçilik Parametreleri'!$B$14)*'İşçilik Parametreleri'!$B$15*E75</f>
        <v>14.17375</v>
      </c>
    </row>
    <row r="76" spans="1:9" ht="15" customHeight="1" x14ac:dyDescent="0.25">
      <c r="A76" s="105" t="s">
        <v>630</v>
      </c>
      <c r="B76" s="105" t="s">
        <v>806</v>
      </c>
      <c r="C76" s="105">
        <v>1</v>
      </c>
      <c r="D76" s="105" t="s">
        <v>807</v>
      </c>
      <c r="E76" s="105">
        <v>1</v>
      </c>
      <c r="F76" s="105">
        <v>1</v>
      </c>
      <c r="G76" s="110">
        <v>0.373</v>
      </c>
      <c r="H76" s="111">
        <f>VLOOKUP(G76,'İşçilik Parametreleri'!$E$5:$F$12,2,TRUE())</f>
        <v>1</v>
      </c>
      <c r="I76" s="112">
        <f>(('İşçilik Parametreleri'!$B$10/MAX(1,'İşçilik Parametreleri'!$B$11)+'İşçilik Parametreleri'!$B$12+'İşçilik Parametreleri'!$B$13)*H76+F76*'İşçilik Parametreleri'!$B$14)*'İşçilik Parametreleri'!$B$15*E76</f>
        <v>5.4049999999999994</v>
      </c>
    </row>
    <row r="77" spans="1:9" ht="15" customHeight="1" x14ac:dyDescent="0.25">
      <c r="A77" s="105" t="s">
        <v>630</v>
      </c>
      <c r="B77" s="105" t="s">
        <v>808</v>
      </c>
      <c r="C77" s="105">
        <v>2</v>
      </c>
      <c r="D77" s="105" t="s">
        <v>809</v>
      </c>
      <c r="E77" s="105">
        <v>1</v>
      </c>
      <c r="F77" s="105">
        <v>4</v>
      </c>
      <c r="G77" s="110">
        <v>0.35</v>
      </c>
      <c r="H77" s="111">
        <f>VLOOKUP(G77,'İşçilik Parametreleri'!$E$5:$F$12,2,TRUE())</f>
        <v>1</v>
      </c>
      <c r="I77" s="112">
        <f>(('İşçilik Parametreleri'!$B$10/MAX(1,'İşçilik Parametreleri'!$B$11)+'İşçilik Parametreleri'!$B$12+'İşçilik Parametreleri'!$B$13)*H77+F77*'İşçilik Parametreleri'!$B$14)*'İşçilik Parametreleri'!$B$15*E77</f>
        <v>8.8549999999999986</v>
      </c>
    </row>
    <row r="78" spans="1:9" ht="15" customHeight="1" x14ac:dyDescent="0.25">
      <c r="A78" s="105" t="s">
        <v>628</v>
      </c>
      <c r="B78" s="105" t="s">
        <v>810</v>
      </c>
      <c r="C78" s="105">
        <v>1</v>
      </c>
      <c r="D78" s="105" t="s">
        <v>774</v>
      </c>
      <c r="E78" s="105">
        <v>1</v>
      </c>
      <c r="F78" s="105">
        <v>6</v>
      </c>
      <c r="G78" s="110">
        <v>3.4950000000000001</v>
      </c>
      <c r="H78" s="111">
        <f>VLOOKUP(G78,'İşçilik Parametreleri'!$E$5:$F$12,2,TRUE())</f>
        <v>1</v>
      </c>
      <c r="I78" s="112">
        <f>(('İşçilik Parametreleri'!$B$10/MAX(1,'İşçilik Parametreleri'!$B$11)+'İşçilik Parametreleri'!$B$12+'İşçilik Parametreleri'!$B$13)*H78+F78*'İşçilik Parametreleri'!$B$14)*'İşçilik Parametreleri'!$B$15*E78</f>
        <v>11.154999999999998</v>
      </c>
    </row>
    <row r="79" spans="1:9" ht="15" customHeight="1" x14ac:dyDescent="0.25">
      <c r="A79" s="105" t="s">
        <v>604</v>
      </c>
      <c r="B79" s="105" t="s">
        <v>811</v>
      </c>
      <c r="C79" s="105">
        <v>1</v>
      </c>
      <c r="D79" s="105" t="s">
        <v>812</v>
      </c>
      <c r="E79" s="105">
        <v>1</v>
      </c>
      <c r="F79" s="105">
        <v>2</v>
      </c>
      <c r="G79" s="110">
        <v>1.159</v>
      </c>
      <c r="H79" s="111">
        <f>VLOOKUP(G79,'İşçilik Parametreleri'!$E$5:$F$12,2,TRUE())</f>
        <v>1</v>
      </c>
      <c r="I79" s="112">
        <f>(('İşçilik Parametreleri'!$B$10/MAX(1,'İşçilik Parametreleri'!$B$11)+'İşçilik Parametreleri'!$B$12+'İşçilik Parametreleri'!$B$13)*H79+F79*'İşçilik Parametreleri'!$B$14)*'İşçilik Parametreleri'!$B$15*E79</f>
        <v>6.5549999999999997</v>
      </c>
    </row>
    <row r="80" spans="1:9" ht="15" customHeight="1" x14ac:dyDescent="0.25">
      <c r="A80" s="105" t="s">
        <v>540</v>
      </c>
      <c r="B80" s="105" t="s">
        <v>813</v>
      </c>
      <c r="C80" s="105">
        <v>1</v>
      </c>
      <c r="D80" s="105" t="s">
        <v>774</v>
      </c>
      <c r="E80" s="105">
        <v>1</v>
      </c>
      <c r="F80" s="105">
        <v>1</v>
      </c>
      <c r="G80" s="110">
        <v>0.16600000000000001</v>
      </c>
      <c r="H80" s="111">
        <f>VLOOKUP(G80,'İşçilik Parametreleri'!$E$5:$F$12,2,TRUE())</f>
        <v>1</v>
      </c>
      <c r="I80" s="112">
        <f>(('İşçilik Parametreleri'!$B$10/MAX(1,'İşçilik Parametreleri'!$B$11)+'İşçilik Parametreleri'!$B$12+'İşçilik Parametreleri'!$B$13)*H80+F80*'İşçilik Parametreleri'!$B$14)*'İşçilik Parametreleri'!$B$15*E80</f>
        <v>5.4049999999999994</v>
      </c>
    </row>
    <row r="81" spans="1:9" ht="15" customHeight="1" x14ac:dyDescent="0.25">
      <c r="A81" s="105" t="s">
        <v>461</v>
      </c>
      <c r="B81" s="105" t="s">
        <v>814</v>
      </c>
      <c r="C81" s="105">
        <v>2</v>
      </c>
      <c r="D81" s="105" t="s">
        <v>815</v>
      </c>
      <c r="E81" s="105">
        <v>1</v>
      </c>
      <c r="F81" s="105">
        <v>4</v>
      </c>
      <c r="G81" s="110">
        <v>0.91</v>
      </c>
      <c r="H81" s="111">
        <f>VLOOKUP(G81,'İşçilik Parametreleri'!$E$5:$F$12,2,TRUE())</f>
        <v>1</v>
      </c>
      <c r="I81" s="112">
        <f>(('İşçilik Parametreleri'!$B$10/MAX(1,'İşçilik Parametreleri'!$B$11)+'İşçilik Parametreleri'!$B$12+'İşçilik Parametreleri'!$B$13)*H81+F81*'İşçilik Parametreleri'!$B$14)*'İşçilik Parametreleri'!$B$15*E81</f>
        <v>8.8549999999999986</v>
      </c>
    </row>
    <row r="82" spans="1:9" ht="15" customHeight="1" x14ac:dyDescent="0.25">
      <c r="A82" s="105" t="s">
        <v>461</v>
      </c>
      <c r="B82" s="105" t="s">
        <v>816</v>
      </c>
      <c r="C82" s="105">
        <v>3</v>
      </c>
      <c r="D82" s="105" t="s">
        <v>817</v>
      </c>
      <c r="E82" s="105">
        <v>6</v>
      </c>
      <c r="F82" s="105">
        <v>1</v>
      </c>
      <c r="G82" s="110">
        <v>0.16</v>
      </c>
      <c r="H82" s="111">
        <f>VLOOKUP(G82,'İşçilik Parametreleri'!$E$5:$F$12,2,TRUE())</f>
        <v>1</v>
      </c>
      <c r="I82" s="112">
        <f>(('İşçilik Parametreleri'!$B$10/MAX(1,'İşçilik Parametreleri'!$B$11)+'İşçilik Parametreleri'!$B$12+'İşçilik Parametreleri'!$B$13)*H82+F82*'İşçilik Parametreleri'!$B$14)*'İşçilik Parametreleri'!$B$15*E82</f>
        <v>32.429999999999993</v>
      </c>
    </row>
    <row r="83" spans="1:9" ht="15" customHeight="1" x14ac:dyDescent="0.25">
      <c r="A83" s="105" t="s">
        <v>563</v>
      </c>
      <c r="B83" s="105" t="s">
        <v>818</v>
      </c>
      <c r="C83" s="105">
        <v>2</v>
      </c>
      <c r="D83" s="105" t="s">
        <v>774</v>
      </c>
      <c r="E83" s="105">
        <v>2</v>
      </c>
      <c r="F83" s="105">
        <v>2</v>
      </c>
      <c r="G83" s="110">
        <v>0.80500000000000005</v>
      </c>
      <c r="H83" s="111">
        <f>VLOOKUP(G83,'İşçilik Parametreleri'!$E$5:$F$12,2,TRUE())</f>
        <v>1</v>
      </c>
      <c r="I83" s="112">
        <f>(('İşçilik Parametreleri'!$B$10/MAX(1,'İşçilik Parametreleri'!$B$11)+'İşçilik Parametreleri'!$B$12+'İşçilik Parametreleri'!$B$13)*H83+F83*'İşçilik Parametreleri'!$B$14)*'İşçilik Parametreleri'!$B$15*E83</f>
        <v>13.11</v>
      </c>
    </row>
    <row r="84" spans="1:9" ht="15" customHeight="1" x14ac:dyDescent="0.25">
      <c r="A84" s="105" t="s">
        <v>549</v>
      </c>
      <c r="B84" s="105" t="s">
        <v>819</v>
      </c>
      <c r="C84" s="105">
        <v>1</v>
      </c>
      <c r="D84" s="105" t="s">
        <v>749</v>
      </c>
      <c r="E84" s="105">
        <v>1</v>
      </c>
      <c r="F84" s="105">
        <v>1</v>
      </c>
      <c r="G84" s="110">
        <v>2.3839999999999999</v>
      </c>
      <c r="H84" s="111">
        <f>VLOOKUP(G84,'İşçilik Parametreleri'!$E$5:$F$12,2,TRUE())</f>
        <v>1</v>
      </c>
      <c r="I84" s="112">
        <f>(('İşçilik Parametreleri'!$B$10/MAX(1,'İşçilik Parametreleri'!$B$11)+'İşçilik Parametreleri'!$B$12+'İşçilik Parametreleri'!$B$13)*H84+F84*'İşçilik Parametreleri'!$B$14)*'İşçilik Parametreleri'!$B$15*E84</f>
        <v>5.4049999999999994</v>
      </c>
    </row>
    <row r="85" spans="1:9" ht="15" customHeight="1" x14ac:dyDescent="0.25">
      <c r="A85" s="105" t="s">
        <v>549</v>
      </c>
      <c r="B85" s="105" t="s">
        <v>820</v>
      </c>
      <c r="C85" s="105">
        <v>2</v>
      </c>
      <c r="D85" s="105" t="s">
        <v>749</v>
      </c>
      <c r="E85" s="105">
        <v>2</v>
      </c>
      <c r="F85" s="105">
        <v>2</v>
      </c>
      <c r="G85" s="110">
        <v>0.18099999999999999</v>
      </c>
      <c r="H85" s="111">
        <f>VLOOKUP(G85,'İşçilik Parametreleri'!$E$5:$F$12,2,TRUE())</f>
        <v>1</v>
      </c>
      <c r="I85" s="112">
        <f>(('İşçilik Parametreleri'!$B$10/MAX(1,'İşçilik Parametreleri'!$B$11)+'İşçilik Parametreleri'!$B$12+'İşçilik Parametreleri'!$B$13)*H85+F85*'İşçilik Parametreleri'!$B$14)*'İşçilik Parametreleri'!$B$15*E85</f>
        <v>13.11</v>
      </c>
    </row>
    <row r="86" spans="1:9" ht="15" customHeight="1" x14ac:dyDescent="0.25">
      <c r="A86" s="105" t="s">
        <v>562</v>
      </c>
      <c r="B86" s="105" t="s">
        <v>821</v>
      </c>
      <c r="C86" s="105">
        <v>1</v>
      </c>
      <c r="D86" s="105" t="s">
        <v>700</v>
      </c>
      <c r="E86" s="105">
        <v>1</v>
      </c>
      <c r="F86" s="105">
        <v>2</v>
      </c>
      <c r="G86" s="110">
        <v>5.5049999999999999</v>
      </c>
      <c r="H86" s="111">
        <f>VLOOKUP(G86,'İşçilik Parametreleri'!$E$5:$F$12,2,TRUE())</f>
        <v>2.25</v>
      </c>
      <c r="I86" s="112">
        <f>(('İşçilik Parametreleri'!$B$10/MAX(1,'İşçilik Parametreleri'!$B$11)+'İşçilik Parametreleri'!$B$12+'İşçilik Parametreleri'!$B$13)*H86+F86*'İşçilik Parametreleri'!$B$14)*'İşçilik Parametreleri'!$B$15*E86</f>
        <v>11.873750000000001</v>
      </c>
    </row>
    <row r="87" spans="1:9" ht="15" customHeight="1" x14ac:dyDescent="0.25">
      <c r="A87" s="105" t="s">
        <v>562</v>
      </c>
      <c r="B87" s="105" t="s">
        <v>822</v>
      </c>
      <c r="C87" s="105">
        <v>2</v>
      </c>
      <c r="D87" s="105" t="s">
        <v>700</v>
      </c>
      <c r="E87" s="105">
        <v>1</v>
      </c>
      <c r="F87" s="105">
        <v>2</v>
      </c>
      <c r="G87" s="110">
        <v>4.952</v>
      </c>
      <c r="H87" s="111">
        <f>VLOOKUP(G87,'İşçilik Parametreleri'!$E$5:$F$12,2,TRUE())</f>
        <v>1</v>
      </c>
      <c r="I87" s="112">
        <f>(('İşçilik Parametreleri'!$B$10/MAX(1,'İşçilik Parametreleri'!$B$11)+'İşçilik Parametreleri'!$B$12+'İşçilik Parametreleri'!$B$13)*H87+F87*'İşçilik Parametreleri'!$B$14)*'İşçilik Parametreleri'!$B$15*E87</f>
        <v>6.5549999999999997</v>
      </c>
    </row>
    <row r="88" spans="1:9" ht="15" customHeight="1" x14ac:dyDescent="0.25">
      <c r="A88" s="105" t="s">
        <v>562</v>
      </c>
      <c r="B88" s="105" t="s">
        <v>823</v>
      </c>
      <c r="C88" s="105">
        <v>4</v>
      </c>
      <c r="D88" s="105" t="s">
        <v>700</v>
      </c>
      <c r="E88" s="105">
        <v>1</v>
      </c>
      <c r="F88" s="105">
        <v>4</v>
      </c>
      <c r="G88" s="110">
        <v>7.3360000000000003</v>
      </c>
      <c r="H88" s="111">
        <f>VLOOKUP(G88,'İşçilik Parametreleri'!$E$5:$F$12,2,TRUE())</f>
        <v>2.25</v>
      </c>
      <c r="I88" s="112">
        <f>(('İşçilik Parametreleri'!$B$10/MAX(1,'İşçilik Parametreleri'!$B$11)+'İşçilik Parametreleri'!$B$12+'İşçilik Parametreleri'!$B$13)*H88+F88*'İşçilik Parametreleri'!$B$14)*'İşçilik Parametreleri'!$B$15*E88</f>
        <v>14.17375</v>
      </c>
    </row>
    <row r="89" spans="1:9" ht="15" customHeight="1" x14ac:dyDescent="0.25">
      <c r="A89" s="105" t="s">
        <v>562</v>
      </c>
      <c r="B89" s="105" t="s">
        <v>824</v>
      </c>
      <c r="C89" s="105">
        <v>5</v>
      </c>
      <c r="D89" s="105" t="s">
        <v>700</v>
      </c>
      <c r="E89" s="105">
        <v>1</v>
      </c>
      <c r="F89" s="105">
        <v>4</v>
      </c>
      <c r="G89" s="110">
        <v>4.0679999999999996</v>
      </c>
      <c r="H89" s="111">
        <f>VLOOKUP(G89,'İşçilik Parametreleri'!$E$5:$F$12,2,TRUE())</f>
        <v>1</v>
      </c>
      <c r="I89" s="112">
        <f>(('İşçilik Parametreleri'!$B$10/MAX(1,'İşçilik Parametreleri'!$B$11)+'İşçilik Parametreleri'!$B$12+'İşçilik Parametreleri'!$B$13)*H89+F89*'İşçilik Parametreleri'!$B$14)*'İşçilik Parametreleri'!$B$15*E89</f>
        <v>8.8549999999999986</v>
      </c>
    </row>
    <row r="90" spans="1:9" ht="15" customHeight="1" x14ac:dyDescent="0.25">
      <c r="A90" s="105" t="s">
        <v>562</v>
      </c>
      <c r="B90" s="105" t="s">
        <v>825</v>
      </c>
      <c r="C90" s="105">
        <v>9</v>
      </c>
      <c r="D90" s="105" t="s">
        <v>826</v>
      </c>
      <c r="E90" s="105">
        <v>1</v>
      </c>
      <c r="F90" s="105">
        <v>2</v>
      </c>
      <c r="G90" s="110">
        <v>1.3049999999999999</v>
      </c>
      <c r="H90" s="111">
        <f>VLOOKUP(G90,'İşçilik Parametreleri'!$E$5:$F$12,2,TRUE())</f>
        <v>1</v>
      </c>
      <c r="I90" s="112">
        <f>(('İşçilik Parametreleri'!$B$10/MAX(1,'İşçilik Parametreleri'!$B$11)+'İşçilik Parametreleri'!$B$12+'İşçilik Parametreleri'!$B$13)*H90+F90*'İşçilik Parametreleri'!$B$14)*'İşçilik Parametreleri'!$B$15*E90</f>
        <v>6.5549999999999997</v>
      </c>
    </row>
    <row r="91" spans="1:9" ht="15" customHeight="1" x14ac:dyDescent="0.25">
      <c r="A91" s="105" t="s">
        <v>621</v>
      </c>
      <c r="B91" s="105" t="s">
        <v>827</v>
      </c>
      <c r="C91" s="105">
        <v>1</v>
      </c>
      <c r="D91" s="105" t="s">
        <v>749</v>
      </c>
      <c r="E91" s="105">
        <v>1</v>
      </c>
      <c r="F91" s="105">
        <v>1</v>
      </c>
      <c r="G91" s="110">
        <v>3.4239999999999999</v>
      </c>
      <c r="H91" s="111">
        <f>VLOOKUP(G91,'İşçilik Parametreleri'!$E$5:$F$12,2,TRUE())</f>
        <v>1</v>
      </c>
      <c r="I91" s="112">
        <f>(('İşçilik Parametreleri'!$B$10/MAX(1,'İşçilik Parametreleri'!$B$11)+'İşçilik Parametreleri'!$B$12+'İşçilik Parametreleri'!$B$13)*H91+F91*'İşçilik Parametreleri'!$B$14)*'İşçilik Parametreleri'!$B$15*E91</f>
        <v>5.4049999999999994</v>
      </c>
    </row>
    <row r="92" spans="1:9" ht="15" customHeight="1" x14ac:dyDescent="0.25">
      <c r="A92" s="105" t="s">
        <v>622</v>
      </c>
      <c r="B92" s="105" t="s">
        <v>828</v>
      </c>
      <c r="C92" s="105">
        <v>1</v>
      </c>
      <c r="D92" s="105" t="s">
        <v>749</v>
      </c>
      <c r="E92" s="105">
        <v>1</v>
      </c>
      <c r="F92" s="105">
        <v>1</v>
      </c>
      <c r="G92" s="110">
        <v>3.4239999999999999</v>
      </c>
      <c r="H92" s="111">
        <f>VLOOKUP(G92,'İşçilik Parametreleri'!$E$5:$F$12,2,TRUE())</f>
        <v>1</v>
      </c>
      <c r="I92" s="112">
        <f>(('İşçilik Parametreleri'!$B$10/MAX(1,'İşçilik Parametreleri'!$B$11)+'İşçilik Parametreleri'!$B$12+'İşçilik Parametreleri'!$B$13)*H92+F92*'İşçilik Parametreleri'!$B$14)*'İşçilik Parametreleri'!$B$15*E92</f>
        <v>5.4049999999999994</v>
      </c>
    </row>
    <row r="93" spans="1:9" ht="15" customHeight="1" x14ac:dyDescent="0.25">
      <c r="A93" s="105" t="s">
        <v>545</v>
      </c>
      <c r="B93" s="105" t="s">
        <v>829</v>
      </c>
      <c r="C93" s="105">
        <v>1</v>
      </c>
      <c r="D93" s="105" t="s">
        <v>830</v>
      </c>
      <c r="E93" s="105">
        <v>1</v>
      </c>
      <c r="F93" s="105">
        <v>3</v>
      </c>
      <c r="G93" s="110">
        <v>15.057</v>
      </c>
      <c r="H93" s="111">
        <f>VLOOKUP(G93,'İşçilik Parametreleri'!$E$5:$F$12,2,TRUE())</f>
        <v>2.25</v>
      </c>
      <c r="I93" s="112">
        <f>(('İşçilik Parametreleri'!$B$10/MAX(1,'İşçilik Parametreleri'!$B$11)+'İşçilik Parametreleri'!$B$12+'İşçilik Parametreleri'!$B$13)*H93+F93*'İşçilik Parametreleri'!$B$14)*'İşçilik Parametreleri'!$B$15*E93</f>
        <v>13.02375</v>
      </c>
    </row>
    <row r="94" spans="1:9" ht="15" customHeight="1" x14ac:dyDescent="0.25">
      <c r="A94" s="105" t="s">
        <v>545</v>
      </c>
      <c r="B94" s="105" t="s">
        <v>831</v>
      </c>
      <c r="C94" s="105">
        <v>2</v>
      </c>
      <c r="D94" s="105" t="s">
        <v>832</v>
      </c>
      <c r="E94" s="105">
        <v>1</v>
      </c>
      <c r="F94" s="105">
        <v>3</v>
      </c>
      <c r="G94" s="110">
        <v>7.6769999999999996</v>
      </c>
      <c r="H94" s="111">
        <f>VLOOKUP(G94,'İşçilik Parametreleri'!$E$5:$F$12,2,TRUE())</f>
        <v>2.25</v>
      </c>
      <c r="I94" s="112">
        <f>(('İşçilik Parametreleri'!$B$10/MAX(1,'İşçilik Parametreleri'!$B$11)+'İşçilik Parametreleri'!$B$12+'İşçilik Parametreleri'!$B$13)*H94+F94*'İşçilik Parametreleri'!$B$14)*'İşçilik Parametreleri'!$B$15*E94</f>
        <v>13.02375</v>
      </c>
    </row>
    <row r="95" spans="1:9" ht="15" customHeight="1" x14ac:dyDescent="0.25">
      <c r="A95" s="105" t="s">
        <v>545</v>
      </c>
      <c r="B95" s="105" t="s">
        <v>833</v>
      </c>
      <c r="C95" s="105">
        <v>3</v>
      </c>
      <c r="D95" s="105" t="s">
        <v>834</v>
      </c>
      <c r="E95" s="105">
        <v>1</v>
      </c>
      <c r="F95" s="105">
        <v>3</v>
      </c>
      <c r="G95" s="110">
        <v>10.741</v>
      </c>
      <c r="H95" s="111">
        <f>VLOOKUP(G95,'İşçilik Parametreleri'!$E$5:$F$12,2,TRUE())</f>
        <v>2.25</v>
      </c>
      <c r="I95" s="112">
        <f>(('İşçilik Parametreleri'!$B$10/MAX(1,'İşçilik Parametreleri'!$B$11)+'İşçilik Parametreleri'!$B$12+'İşçilik Parametreleri'!$B$13)*H95+F95*'İşçilik Parametreleri'!$B$14)*'İşçilik Parametreleri'!$B$15*E95</f>
        <v>13.02375</v>
      </c>
    </row>
    <row r="96" spans="1:9" ht="15" customHeight="1" x14ac:dyDescent="0.25">
      <c r="A96" s="105" t="s">
        <v>545</v>
      </c>
      <c r="B96" s="105" t="s">
        <v>835</v>
      </c>
      <c r="C96" s="105">
        <v>4</v>
      </c>
      <c r="D96" s="105" t="s">
        <v>836</v>
      </c>
      <c r="E96" s="105">
        <v>1</v>
      </c>
      <c r="F96" s="105">
        <v>3</v>
      </c>
      <c r="G96" s="110">
        <v>7.6619999999999999</v>
      </c>
      <c r="H96" s="111">
        <f>VLOOKUP(G96,'İşçilik Parametreleri'!$E$5:$F$12,2,TRUE())</f>
        <v>2.25</v>
      </c>
      <c r="I96" s="112">
        <f>(('İşçilik Parametreleri'!$B$10/MAX(1,'İşçilik Parametreleri'!$B$11)+'İşçilik Parametreleri'!$B$12+'İşçilik Parametreleri'!$B$13)*H96+F96*'İşçilik Parametreleri'!$B$14)*'İşçilik Parametreleri'!$B$15*E96</f>
        <v>13.02375</v>
      </c>
    </row>
    <row r="97" spans="1:9" ht="15" customHeight="1" x14ac:dyDescent="0.25">
      <c r="A97" s="105" t="s">
        <v>545</v>
      </c>
      <c r="B97" s="105" t="s">
        <v>837</v>
      </c>
      <c r="C97" s="105">
        <v>6</v>
      </c>
      <c r="D97" s="105" t="s">
        <v>838</v>
      </c>
      <c r="E97" s="105">
        <v>1</v>
      </c>
      <c r="F97" s="105">
        <v>1</v>
      </c>
      <c r="G97" s="110">
        <v>3.87</v>
      </c>
      <c r="H97" s="111">
        <f>VLOOKUP(G97,'İşçilik Parametreleri'!$E$5:$F$12,2,TRUE())</f>
        <v>1</v>
      </c>
      <c r="I97" s="112">
        <f>(('İşçilik Parametreleri'!$B$10/MAX(1,'İşçilik Parametreleri'!$B$11)+'İşçilik Parametreleri'!$B$12+'İşçilik Parametreleri'!$B$13)*H97+F97*'İşçilik Parametreleri'!$B$14)*'İşçilik Parametreleri'!$B$15*E97</f>
        <v>5.4049999999999994</v>
      </c>
    </row>
    <row r="98" spans="1:9" ht="15" customHeight="1" x14ac:dyDescent="0.25">
      <c r="A98" s="105" t="s">
        <v>545</v>
      </c>
      <c r="B98" s="105" t="s">
        <v>839</v>
      </c>
      <c r="C98" s="105">
        <v>8</v>
      </c>
      <c r="D98" s="105" t="s">
        <v>840</v>
      </c>
      <c r="E98" s="105">
        <v>2</v>
      </c>
      <c r="F98" s="105">
        <v>4</v>
      </c>
      <c r="G98" s="110">
        <v>0.14399999999999999</v>
      </c>
      <c r="H98" s="111">
        <f>VLOOKUP(G98,'İşçilik Parametreleri'!$E$5:$F$12,2,TRUE())</f>
        <v>1</v>
      </c>
      <c r="I98" s="112">
        <f>(('İşçilik Parametreleri'!$B$10/MAX(1,'İşçilik Parametreleri'!$B$11)+'İşçilik Parametreleri'!$B$12+'İşçilik Parametreleri'!$B$13)*H98+F98*'İşçilik Parametreleri'!$B$14)*'İşçilik Parametreleri'!$B$15*E98</f>
        <v>17.709999999999997</v>
      </c>
    </row>
    <row r="99" spans="1:9" ht="15" customHeight="1" x14ac:dyDescent="0.25">
      <c r="A99" s="105" t="s">
        <v>545</v>
      </c>
      <c r="B99" s="105" t="s">
        <v>841</v>
      </c>
      <c r="C99" s="105">
        <v>9</v>
      </c>
      <c r="D99" s="105" t="s">
        <v>842</v>
      </c>
      <c r="E99" s="105">
        <v>1</v>
      </c>
      <c r="F99" s="105">
        <v>1</v>
      </c>
      <c r="G99" s="110">
        <v>0.15</v>
      </c>
      <c r="H99" s="111">
        <f>VLOOKUP(G99,'İşçilik Parametreleri'!$E$5:$F$12,2,TRUE())</f>
        <v>1</v>
      </c>
      <c r="I99" s="112">
        <f>(('İşçilik Parametreleri'!$B$10/MAX(1,'İşçilik Parametreleri'!$B$11)+'İşçilik Parametreleri'!$B$12+'İşçilik Parametreleri'!$B$13)*H99+F99*'İşçilik Parametreleri'!$B$14)*'İşçilik Parametreleri'!$B$15*E99</f>
        <v>5.4049999999999994</v>
      </c>
    </row>
    <row r="100" spans="1:9" ht="15" customHeight="1" x14ac:dyDescent="0.25">
      <c r="A100" s="105" t="s">
        <v>545</v>
      </c>
      <c r="B100" s="105" t="s">
        <v>843</v>
      </c>
      <c r="C100" s="105">
        <v>11</v>
      </c>
      <c r="D100" s="105" t="s">
        <v>844</v>
      </c>
      <c r="E100" s="105">
        <v>1</v>
      </c>
      <c r="F100" s="105">
        <v>1</v>
      </c>
      <c r="G100" s="110">
        <v>2.5999999999999999E-2</v>
      </c>
      <c r="H100" s="111">
        <f>VLOOKUP(G100,'İşçilik Parametreleri'!$E$5:$F$12,2,TRUE())</f>
        <v>1</v>
      </c>
      <c r="I100" s="112">
        <f>(('İşçilik Parametreleri'!$B$10/MAX(1,'İşçilik Parametreleri'!$B$11)+'İşçilik Parametreleri'!$B$12+'İşçilik Parametreleri'!$B$13)*H100+F100*'İşçilik Parametreleri'!$B$14)*'İşçilik Parametreleri'!$B$15*E100</f>
        <v>5.4049999999999994</v>
      </c>
    </row>
    <row r="101" spans="1:9" ht="15" customHeight="1" x14ac:dyDescent="0.25">
      <c r="A101" s="105" t="s">
        <v>545</v>
      </c>
      <c r="B101" s="105" t="s">
        <v>845</v>
      </c>
      <c r="C101" s="105">
        <v>12</v>
      </c>
      <c r="D101" s="105" t="s">
        <v>846</v>
      </c>
      <c r="E101" s="105">
        <v>1</v>
      </c>
      <c r="F101" s="105">
        <v>1</v>
      </c>
      <c r="G101" s="110">
        <v>2.5999999999999999E-2</v>
      </c>
      <c r="H101" s="111">
        <f>VLOOKUP(G101,'İşçilik Parametreleri'!$E$5:$F$12,2,TRUE())</f>
        <v>1</v>
      </c>
      <c r="I101" s="112">
        <f>(('İşçilik Parametreleri'!$B$10/MAX(1,'İşçilik Parametreleri'!$B$11)+'İşçilik Parametreleri'!$B$12+'İşçilik Parametreleri'!$B$13)*H101+F101*'İşçilik Parametreleri'!$B$14)*'İşçilik Parametreleri'!$B$15*E101</f>
        <v>5.4049999999999994</v>
      </c>
    </row>
    <row r="102" spans="1:9" ht="15" customHeight="1" x14ac:dyDescent="0.25">
      <c r="A102" s="105" t="s">
        <v>545</v>
      </c>
      <c r="B102" s="105" t="s">
        <v>847</v>
      </c>
      <c r="C102" s="105">
        <v>14</v>
      </c>
      <c r="D102" s="105" t="s">
        <v>848</v>
      </c>
      <c r="E102" s="105">
        <v>1</v>
      </c>
      <c r="F102" s="105">
        <v>1</v>
      </c>
      <c r="G102" s="110">
        <v>0.32600000000000001</v>
      </c>
      <c r="H102" s="111">
        <f>VLOOKUP(G102,'İşçilik Parametreleri'!$E$5:$F$12,2,TRUE())</f>
        <v>1</v>
      </c>
      <c r="I102" s="112">
        <f>(('İşçilik Parametreleri'!$B$10/MAX(1,'İşçilik Parametreleri'!$B$11)+'İşçilik Parametreleri'!$B$12+'İşçilik Parametreleri'!$B$13)*H102+F102*'İşçilik Parametreleri'!$B$14)*'İşçilik Parametreleri'!$B$15*E102</f>
        <v>5.4049999999999994</v>
      </c>
    </row>
    <row r="103" spans="1:9" ht="15" customHeight="1" x14ac:dyDescent="0.25">
      <c r="A103" s="105" t="s">
        <v>545</v>
      </c>
      <c r="B103" s="105" t="s">
        <v>849</v>
      </c>
      <c r="C103" s="105">
        <v>14</v>
      </c>
      <c r="D103" s="105" t="s">
        <v>848</v>
      </c>
      <c r="E103" s="105">
        <v>1</v>
      </c>
      <c r="F103" s="105">
        <v>1</v>
      </c>
      <c r="G103" s="110">
        <v>0.32600000000000001</v>
      </c>
      <c r="H103" s="111">
        <f>VLOOKUP(G103,'İşçilik Parametreleri'!$E$5:$F$12,2,TRUE())</f>
        <v>1</v>
      </c>
      <c r="I103" s="112">
        <f>(('İşçilik Parametreleri'!$B$10/MAX(1,'İşçilik Parametreleri'!$B$11)+'İşçilik Parametreleri'!$B$12+'İşçilik Parametreleri'!$B$13)*H103+F103*'İşçilik Parametreleri'!$B$14)*'İşçilik Parametreleri'!$B$15*E103</f>
        <v>5.4049999999999994</v>
      </c>
    </row>
    <row r="104" spans="1:9" ht="15" customHeight="1" x14ac:dyDescent="0.25">
      <c r="A104" s="105" t="s">
        <v>545</v>
      </c>
      <c r="B104" s="105" t="s">
        <v>850</v>
      </c>
      <c r="C104" s="105">
        <v>15</v>
      </c>
      <c r="D104" s="105" t="s">
        <v>851</v>
      </c>
      <c r="E104" s="105">
        <v>1</v>
      </c>
      <c r="F104" s="105">
        <v>2</v>
      </c>
      <c r="G104" s="110">
        <v>0.25</v>
      </c>
      <c r="H104" s="111">
        <f>VLOOKUP(G104,'İşçilik Parametreleri'!$E$5:$F$12,2,TRUE())</f>
        <v>1</v>
      </c>
      <c r="I104" s="112">
        <f>(('İşçilik Parametreleri'!$B$10/MAX(1,'İşçilik Parametreleri'!$B$11)+'İşçilik Parametreleri'!$B$12+'İşçilik Parametreleri'!$B$13)*H104+F104*'İşçilik Parametreleri'!$B$14)*'İşçilik Parametreleri'!$B$15*E104</f>
        <v>6.5549999999999997</v>
      </c>
    </row>
    <row r="105" spans="1:9" ht="15" customHeight="1" x14ac:dyDescent="0.25">
      <c r="A105" s="105" t="s">
        <v>573</v>
      </c>
      <c r="B105" s="105" t="s">
        <v>852</v>
      </c>
      <c r="C105" s="105">
        <v>1</v>
      </c>
      <c r="D105" s="105" t="s">
        <v>853</v>
      </c>
      <c r="E105" s="105">
        <v>1</v>
      </c>
      <c r="F105" s="105">
        <v>1</v>
      </c>
      <c r="G105" s="110">
        <v>2.3610000000000002</v>
      </c>
      <c r="H105" s="111">
        <f>VLOOKUP(G105,'İşçilik Parametreleri'!$E$5:$F$12,2,TRUE())</f>
        <v>1</v>
      </c>
      <c r="I105" s="112">
        <f>(('İşçilik Parametreleri'!$B$10/MAX(1,'İşçilik Parametreleri'!$B$11)+'İşçilik Parametreleri'!$B$12+'İşçilik Parametreleri'!$B$13)*H105+F105*'İşçilik Parametreleri'!$B$14)*'İşçilik Parametreleri'!$B$15*E105</f>
        <v>5.4049999999999994</v>
      </c>
    </row>
    <row r="106" spans="1:9" ht="15" customHeight="1" x14ac:dyDescent="0.25">
      <c r="A106" s="105" t="s">
        <v>541</v>
      </c>
      <c r="B106" s="105" t="s">
        <v>854</v>
      </c>
      <c r="C106" s="105">
        <v>1</v>
      </c>
      <c r="D106" s="105" t="s">
        <v>700</v>
      </c>
      <c r="E106" s="105">
        <v>1</v>
      </c>
      <c r="F106" s="105">
        <v>3</v>
      </c>
      <c r="G106" s="110">
        <v>6.2889999999999997</v>
      </c>
      <c r="H106" s="111">
        <f>VLOOKUP(G106,'İşçilik Parametreleri'!$E$5:$F$12,2,TRUE())</f>
        <v>2.25</v>
      </c>
      <c r="I106" s="112">
        <f>(('İşçilik Parametreleri'!$B$10/MAX(1,'İşçilik Parametreleri'!$B$11)+'İşçilik Parametreleri'!$B$12+'İşçilik Parametreleri'!$B$13)*H106+F106*'İşçilik Parametreleri'!$B$14)*'İşçilik Parametreleri'!$B$15*E106</f>
        <v>13.02375</v>
      </c>
    </row>
    <row r="107" spans="1:9" ht="15" customHeight="1" x14ac:dyDescent="0.25">
      <c r="A107" s="105" t="s">
        <v>541</v>
      </c>
      <c r="B107" s="105" t="s">
        <v>855</v>
      </c>
      <c r="C107" s="105">
        <v>4</v>
      </c>
      <c r="D107" s="105" t="s">
        <v>700</v>
      </c>
      <c r="E107" s="105">
        <v>1</v>
      </c>
      <c r="F107" s="105">
        <v>1</v>
      </c>
      <c r="G107" s="110">
        <v>0.86899999999999999</v>
      </c>
      <c r="H107" s="111">
        <f>VLOOKUP(G107,'İşçilik Parametreleri'!$E$5:$F$12,2,TRUE())</f>
        <v>1</v>
      </c>
      <c r="I107" s="112">
        <f>(('İşçilik Parametreleri'!$B$10/MAX(1,'İşçilik Parametreleri'!$B$11)+'İşçilik Parametreleri'!$B$12+'İşçilik Parametreleri'!$B$13)*H107+F107*'İşçilik Parametreleri'!$B$14)*'İşçilik Parametreleri'!$B$15*E107</f>
        <v>5.4049999999999994</v>
      </c>
    </row>
    <row r="108" spans="1:9" ht="15" customHeight="1" x14ac:dyDescent="0.25">
      <c r="A108" s="105" t="s">
        <v>574</v>
      </c>
      <c r="B108" s="105" t="s">
        <v>856</v>
      </c>
      <c r="C108" s="105">
        <v>1</v>
      </c>
      <c r="D108" s="105" t="s">
        <v>857</v>
      </c>
      <c r="E108" s="105">
        <v>1</v>
      </c>
      <c r="F108" s="105">
        <v>1</v>
      </c>
      <c r="G108" s="110">
        <v>2.3610000000000002</v>
      </c>
      <c r="H108" s="111">
        <f>VLOOKUP(G108,'İşçilik Parametreleri'!$E$5:$F$12,2,TRUE())</f>
        <v>1</v>
      </c>
      <c r="I108" s="112">
        <f>(('İşçilik Parametreleri'!$B$10/MAX(1,'İşçilik Parametreleri'!$B$11)+'İşçilik Parametreleri'!$B$12+'İşçilik Parametreleri'!$B$13)*H108+F108*'İşçilik Parametreleri'!$B$14)*'İşçilik Parametreleri'!$B$15*E108</f>
        <v>5.4049999999999994</v>
      </c>
    </row>
    <row r="109" spans="1:9" ht="15" customHeight="1" x14ac:dyDescent="0.25">
      <c r="A109" s="105" t="s">
        <v>598</v>
      </c>
      <c r="B109" s="105" t="s">
        <v>858</v>
      </c>
      <c r="C109" s="105">
        <v>1</v>
      </c>
      <c r="D109" s="105" t="s">
        <v>859</v>
      </c>
      <c r="E109" s="105">
        <v>1</v>
      </c>
      <c r="F109" s="105">
        <v>2</v>
      </c>
      <c r="G109" s="110">
        <v>1.4730000000000001</v>
      </c>
      <c r="H109" s="111">
        <f>VLOOKUP(G109,'İşçilik Parametreleri'!$E$5:$F$12,2,TRUE())</f>
        <v>1</v>
      </c>
      <c r="I109" s="112">
        <f>(('İşçilik Parametreleri'!$B$10/MAX(1,'İşçilik Parametreleri'!$B$11)+'İşçilik Parametreleri'!$B$12+'İşçilik Parametreleri'!$B$13)*H109+F109*'İşçilik Parametreleri'!$B$14)*'İşçilik Parametreleri'!$B$15*E109</f>
        <v>6.5549999999999997</v>
      </c>
    </row>
    <row r="110" spans="1:9" ht="15" customHeight="1" x14ac:dyDescent="0.25">
      <c r="A110" s="105" t="s">
        <v>598</v>
      </c>
      <c r="B110" s="105" t="s">
        <v>860</v>
      </c>
      <c r="C110" s="105">
        <v>2</v>
      </c>
      <c r="D110" s="105" t="s">
        <v>859</v>
      </c>
      <c r="E110" s="105">
        <v>1</v>
      </c>
      <c r="F110" s="105">
        <v>1</v>
      </c>
      <c r="G110" s="110">
        <v>0.92100000000000004</v>
      </c>
      <c r="H110" s="111">
        <f>VLOOKUP(G110,'İşçilik Parametreleri'!$E$5:$F$12,2,TRUE())</f>
        <v>1</v>
      </c>
      <c r="I110" s="112">
        <f>(('İşçilik Parametreleri'!$B$10/MAX(1,'İşçilik Parametreleri'!$B$11)+'İşçilik Parametreleri'!$B$12+'İşçilik Parametreleri'!$B$13)*H110+F110*'İşçilik Parametreleri'!$B$14)*'İşçilik Parametreleri'!$B$15*E110</f>
        <v>5.4049999999999994</v>
      </c>
    </row>
    <row r="111" spans="1:9" ht="15" customHeight="1" x14ac:dyDescent="0.25">
      <c r="A111" s="105" t="s">
        <v>596</v>
      </c>
      <c r="B111" s="105" t="s">
        <v>861</v>
      </c>
      <c r="C111" s="105">
        <v>1</v>
      </c>
      <c r="D111" s="105" t="s">
        <v>774</v>
      </c>
      <c r="E111" s="105">
        <v>1</v>
      </c>
      <c r="F111" s="105">
        <v>1</v>
      </c>
      <c r="G111" s="110">
        <v>2.6019999999999999</v>
      </c>
      <c r="H111" s="111">
        <f>VLOOKUP(G111,'İşçilik Parametreleri'!$E$5:$F$12,2,TRUE())</f>
        <v>1</v>
      </c>
      <c r="I111" s="112">
        <f>(('İşçilik Parametreleri'!$B$10/MAX(1,'İşçilik Parametreleri'!$B$11)+'İşçilik Parametreleri'!$B$12+'İşçilik Parametreleri'!$B$13)*H111+F111*'İşçilik Parametreleri'!$B$14)*'İşçilik Parametreleri'!$B$15*E111</f>
        <v>5.4049999999999994</v>
      </c>
    </row>
    <row r="112" spans="1:9" ht="15" customHeight="1" x14ac:dyDescent="0.25">
      <c r="A112" s="105" t="s">
        <v>495</v>
      </c>
      <c r="B112" s="105" t="s">
        <v>862</v>
      </c>
      <c r="C112" s="105">
        <v>1</v>
      </c>
      <c r="D112" s="105" t="s">
        <v>700</v>
      </c>
      <c r="E112" s="105">
        <v>1</v>
      </c>
      <c r="F112" s="105">
        <v>3</v>
      </c>
      <c r="G112" s="110">
        <v>5.52</v>
      </c>
      <c r="H112" s="111">
        <f>VLOOKUP(G112,'İşçilik Parametreleri'!$E$5:$F$12,2,TRUE())</f>
        <v>2.25</v>
      </c>
      <c r="I112" s="112">
        <f>(('İşçilik Parametreleri'!$B$10/MAX(1,'İşçilik Parametreleri'!$B$11)+'İşçilik Parametreleri'!$B$12+'İşçilik Parametreleri'!$B$13)*H112+F112*'İşçilik Parametreleri'!$B$14)*'İşçilik Parametreleri'!$B$15*E112</f>
        <v>13.02375</v>
      </c>
    </row>
    <row r="113" spans="1:9" ht="15" customHeight="1" x14ac:dyDescent="0.25">
      <c r="A113" s="105" t="s">
        <v>438</v>
      </c>
      <c r="B113" s="105" t="s">
        <v>863</v>
      </c>
      <c r="C113" s="105">
        <v>4</v>
      </c>
      <c r="D113" s="105" t="s">
        <v>864</v>
      </c>
      <c r="E113" s="105">
        <v>3</v>
      </c>
      <c r="F113" s="105">
        <v>1</v>
      </c>
      <c r="G113" s="110">
        <v>1.919</v>
      </c>
      <c r="H113" s="111">
        <f>VLOOKUP(G113,'İşçilik Parametreleri'!$E$5:$F$12,2,TRUE())</f>
        <v>1</v>
      </c>
      <c r="I113" s="112">
        <f>(('İşçilik Parametreleri'!$B$10/MAX(1,'İşçilik Parametreleri'!$B$11)+'İşçilik Parametreleri'!$B$12+'İşçilik Parametreleri'!$B$13)*H113+F113*'İşçilik Parametreleri'!$B$14)*'İşçilik Parametreleri'!$B$15*E113</f>
        <v>16.214999999999996</v>
      </c>
    </row>
    <row r="114" spans="1:9" ht="15" customHeight="1" x14ac:dyDescent="0.25">
      <c r="A114" s="105" t="s">
        <v>438</v>
      </c>
      <c r="B114" s="105" t="s">
        <v>865</v>
      </c>
      <c r="C114" s="105">
        <v>5</v>
      </c>
      <c r="D114" s="105" t="s">
        <v>866</v>
      </c>
      <c r="E114" s="105">
        <v>1</v>
      </c>
      <c r="F114" s="105">
        <v>1</v>
      </c>
      <c r="G114" s="110">
        <v>1.909</v>
      </c>
      <c r="H114" s="111">
        <f>VLOOKUP(G114,'İşçilik Parametreleri'!$E$5:$F$12,2,TRUE())</f>
        <v>1</v>
      </c>
      <c r="I114" s="112">
        <f>(('İşçilik Parametreleri'!$B$10/MAX(1,'İşçilik Parametreleri'!$B$11)+'İşçilik Parametreleri'!$B$12+'İşçilik Parametreleri'!$B$13)*H114+F114*'İşçilik Parametreleri'!$B$14)*'İşçilik Parametreleri'!$B$15*E114</f>
        <v>5.4049999999999994</v>
      </c>
    </row>
    <row r="115" spans="1:9" ht="15" customHeight="1" x14ac:dyDescent="0.25">
      <c r="A115" s="105" t="s">
        <v>438</v>
      </c>
      <c r="B115" s="105" t="s">
        <v>867</v>
      </c>
      <c r="C115" s="105">
        <v>6</v>
      </c>
      <c r="D115" s="105" t="s">
        <v>866</v>
      </c>
      <c r="E115" s="105">
        <v>1</v>
      </c>
      <c r="F115" s="105">
        <v>4</v>
      </c>
      <c r="G115" s="110">
        <v>1.9079999999999999</v>
      </c>
      <c r="H115" s="111">
        <f>VLOOKUP(G115,'İşçilik Parametreleri'!$E$5:$F$12,2,TRUE())</f>
        <v>1</v>
      </c>
      <c r="I115" s="112">
        <f>(('İşçilik Parametreleri'!$B$10/MAX(1,'İşçilik Parametreleri'!$B$11)+'İşçilik Parametreleri'!$B$12+'İşçilik Parametreleri'!$B$13)*H115+F115*'İşçilik Parametreleri'!$B$14)*'İşçilik Parametreleri'!$B$15*E115</f>
        <v>8.8549999999999986</v>
      </c>
    </row>
    <row r="116" spans="1:9" ht="15" customHeight="1" x14ac:dyDescent="0.25">
      <c r="A116" s="105" t="s">
        <v>438</v>
      </c>
      <c r="B116" s="105" t="s">
        <v>868</v>
      </c>
      <c r="C116" s="105">
        <v>7</v>
      </c>
      <c r="D116" s="105" t="s">
        <v>864</v>
      </c>
      <c r="E116" s="105">
        <v>1</v>
      </c>
      <c r="F116" s="105">
        <v>4</v>
      </c>
      <c r="G116" s="110">
        <v>1.9179999999999999</v>
      </c>
      <c r="H116" s="111">
        <f>VLOOKUP(G116,'İşçilik Parametreleri'!$E$5:$F$12,2,TRUE())</f>
        <v>1</v>
      </c>
      <c r="I116" s="112">
        <f>(('İşçilik Parametreleri'!$B$10/MAX(1,'İşçilik Parametreleri'!$B$11)+'İşçilik Parametreleri'!$B$12+'İşçilik Parametreleri'!$B$13)*H116+F116*'İşçilik Parametreleri'!$B$14)*'İşçilik Parametreleri'!$B$15*E116</f>
        <v>8.8549999999999986</v>
      </c>
    </row>
    <row r="117" spans="1:9" ht="15" customHeight="1" x14ac:dyDescent="0.25">
      <c r="A117" s="105" t="s">
        <v>438</v>
      </c>
      <c r="B117" s="105" t="s">
        <v>869</v>
      </c>
      <c r="C117" s="105">
        <v>8</v>
      </c>
      <c r="D117" s="105" t="s">
        <v>870</v>
      </c>
      <c r="E117" s="105">
        <v>2</v>
      </c>
      <c r="F117" s="105">
        <v>2</v>
      </c>
      <c r="G117" s="110">
        <v>0.81799999999999995</v>
      </c>
      <c r="H117" s="111">
        <f>VLOOKUP(G117,'İşçilik Parametreleri'!$E$5:$F$12,2,TRUE())</f>
        <v>1</v>
      </c>
      <c r="I117" s="112">
        <f>(('İşçilik Parametreleri'!$B$10/MAX(1,'İşçilik Parametreleri'!$B$11)+'İşçilik Parametreleri'!$B$12+'İşçilik Parametreleri'!$B$13)*H117+F117*'İşçilik Parametreleri'!$B$14)*'İşçilik Parametreleri'!$B$15*E117</f>
        <v>13.11</v>
      </c>
    </row>
    <row r="118" spans="1:9" ht="15" customHeight="1" x14ac:dyDescent="0.25">
      <c r="A118" s="105" t="s">
        <v>632</v>
      </c>
      <c r="B118" s="105" t="s">
        <v>871</v>
      </c>
      <c r="C118" s="105">
        <v>1</v>
      </c>
      <c r="D118" s="105" t="s">
        <v>872</v>
      </c>
      <c r="E118" s="105">
        <v>1</v>
      </c>
      <c r="F118" s="105">
        <v>2</v>
      </c>
      <c r="G118" s="110">
        <v>0.309</v>
      </c>
      <c r="H118" s="111">
        <f>VLOOKUP(G118,'İşçilik Parametreleri'!$E$5:$F$12,2,TRUE())</f>
        <v>1</v>
      </c>
      <c r="I118" s="112">
        <f>(('İşçilik Parametreleri'!$B$10/MAX(1,'İşçilik Parametreleri'!$B$11)+'İşçilik Parametreleri'!$B$12+'İşçilik Parametreleri'!$B$13)*H118+F118*'İşçilik Parametreleri'!$B$14)*'İşçilik Parametreleri'!$B$15*E118</f>
        <v>6.5549999999999997</v>
      </c>
    </row>
    <row r="119" spans="1:9" ht="15" customHeight="1" x14ac:dyDescent="0.25">
      <c r="A119" s="105" t="s">
        <v>485</v>
      </c>
      <c r="B119" s="105" t="s">
        <v>873</v>
      </c>
      <c r="C119" s="105">
        <v>1</v>
      </c>
      <c r="D119" s="105" t="s">
        <v>777</v>
      </c>
      <c r="E119" s="105">
        <v>1</v>
      </c>
      <c r="F119" s="105">
        <v>1</v>
      </c>
      <c r="G119" s="110">
        <v>9.9640000000000004</v>
      </c>
      <c r="H119" s="111">
        <f>VLOOKUP(G119,'İşçilik Parametreleri'!$E$5:$F$12,2,TRUE())</f>
        <v>2.25</v>
      </c>
      <c r="I119" s="112">
        <f>(('İşçilik Parametreleri'!$B$10/MAX(1,'İşçilik Parametreleri'!$B$11)+'İşçilik Parametreleri'!$B$12+'İşçilik Parametreleri'!$B$13)*H119+F119*'İşçilik Parametreleri'!$B$14)*'İşçilik Parametreleri'!$B$15*E119</f>
        <v>10.723750000000001</v>
      </c>
    </row>
    <row r="120" spans="1:9" ht="15" customHeight="1" x14ac:dyDescent="0.25">
      <c r="A120" s="105" t="s">
        <v>486</v>
      </c>
      <c r="B120" s="105" t="s">
        <v>874</v>
      </c>
      <c r="C120" s="105">
        <v>1</v>
      </c>
      <c r="D120" s="105" t="s">
        <v>875</v>
      </c>
      <c r="E120" s="105">
        <v>1</v>
      </c>
      <c r="F120" s="105">
        <v>1</v>
      </c>
      <c r="G120" s="110">
        <v>9.8369999999999997</v>
      </c>
      <c r="H120" s="111">
        <f>VLOOKUP(G120,'İşçilik Parametreleri'!$E$5:$F$12,2,TRUE())</f>
        <v>2.25</v>
      </c>
      <c r="I120" s="112">
        <f>(('İşçilik Parametreleri'!$B$10/MAX(1,'İşçilik Parametreleri'!$B$11)+'İşçilik Parametreleri'!$B$12+'İşçilik Parametreleri'!$B$13)*H120+F120*'İşçilik Parametreleri'!$B$14)*'İşçilik Parametreleri'!$B$15*E120</f>
        <v>10.723750000000001</v>
      </c>
    </row>
    <row r="121" spans="1:9" ht="15" customHeight="1" x14ac:dyDescent="0.25">
      <c r="A121" s="105" t="s">
        <v>500</v>
      </c>
      <c r="B121" s="105" t="s">
        <v>876</v>
      </c>
      <c r="C121" s="105">
        <v>2</v>
      </c>
      <c r="D121" s="105" t="s">
        <v>877</v>
      </c>
      <c r="E121" s="105">
        <v>1</v>
      </c>
      <c r="F121" s="105">
        <v>1</v>
      </c>
      <c r="G121" s="110">
        <v>9.1999999999999998E-2</v>
      </c>
      <c r="H121" s="111">
        <f>VLOOKUP(G121,'İşçilik Parametreleri'!$E$5:$F$12,2,TRUE())</f>
        <v>1</v>
      </c>
      <c r="I121" s="112">
        <f>(('İşçilik Parametreleri'!$B$10/MAX(1,'İşçilik Parametreleri'!$B$11)+'İşçilik Parametreleri'!$B$12+'İşçilik Parametreleri'!$B$13)*H121+F121*'İşçilik Parametreleri'!$B$14)*'İşçilik Parametreleri'!$B$15*E121</f>
        <v>5.4049999999999994</v>
      </c>
    </row>
    <row r="122" spans="1:9" ht="15" customHeight="1" x14ac:dyDescent="0.25">
      <c r="A122" s="105" t="s">
        <v>516</v>
      </c>
      <c r="B122" s="105" t="s">
        <v>878</v>
      </c>
      <c r="C122" s="105">
        <v>1</v>
      </c>
      <c r="D122" s="105" t="s">
        <v>749</v>
      </c>
      <c r="E122" s="105">
        <v>1</v>
      </c>
      <c r="F122" s="105">
        <v>2</v>
      </c>
      <c r="G122" s="110">
        <v>2.766</v>
      </c>
      <c r="H122" s="111">
        <f>VLOOKUP(G122,'İşçilik Parametreleri'!$E$5:$F$12,2,TRUE())</f>
        <v>1</v>
      </c>
      <c r="I122" s="112">
        <f>(('İşçilik Parametreleri'!$B$10/MAX(1,'İşçilik Parametreleri'!$B$11)+'İşçilik Parametreleri'!$B$12+'İşçilik Parametreleri'!$B$13)*H122+F122*'İşçilik Parametreleri'!$B$14)*'İşçilik Parametreleri'!$B$15*E122</f>
        <v>6.5549999999999997</v>
      </c>
    </row>
    <row r="123" spans="1:9" ht="15" customHeight="1" x14ac:dyDescent="0.25">
      <c r="A123" s="105" t="s">
        <v>490</v>
      </c>
      <c r="B123" s="105" t="s">
        <v>879</v>
      </c>
      <c r="C123" s="105">
        <v>1</v>
      </c>
      <c r="D123" s="105" t="s">
        <v>880</v>
      </c>
      <c r="E123" s="105">
        <v>1</v>
      </c>
      <c r="F123" s="105">
        <v>2</v>
      </c>
      <c r="G123" s="110">
        <v>5.1349999999999998</v>
      </c>
      <c r="H123" s="111">
        <f>VLOOKUP(G123,'İşçilik Parametreleri'!$E$5:$F$12,2,TRUE())</f>
        <v>2.25</v>
      </c>
      <c r="I123" s="112">
        <f>(('İşçilik Parametreleri'!$B$10/MAX(1,'İşçilik Parametreleri'!$B$11)+'İşçilik Parametreleri'!$B$12+'İşçilik Parametreleri'!$B$13)*H123+F123*'İşçilik Parametreleri'!$B$14)*'İşçilik Parametreleri'!$B$15*E123</f>
        <v>11.873750000000001</v>
      </c>
    </row>
    <row r="124" spans="1:9" ht="15" customHeight="1" x14ac:dyDescent="0.25">
      <c r="A124" s="105" t="s">
        <v>503</v>
      </c>
      <c r="B124" s="105" t="s">
        <v>881</v>
      </c>
      <c r="C124" s="105">
        <v>1</v>
      </c>
      <c r="D124" s="105" t="s">
        <v>882</v>
      </c>
      <c r="E124" s="105">
        <v>1</v>
      </c>
      <c r="F124" s="105">
        <v>2</v>
      </c>
      <c r="G124" s="110">
        <v>1.823</v>
      </c>
      <c r="H124" s="111">
        <f>VLOOKUP(G124,'İşçilik Parametreleri'!$E$5:$F$12,2,TRUE())</f>
        <v>1</v>
      </c>
      <c r="I124" s="112">
        <f>(('İşçilik Parametreleri'!$B$10/MAX(1,'İşçilik Parametreleri'!$B$11)+'İşçilik Parametreleri'!$B$12+'İşçilik Parametreleri'!$B$13)*H124+F124*'İşçilik Parametreleri'!$B$14)*'İşçilik Parametreleri'!$B$15*E124</f>
        <v>6.5549999999999997</v>
      </c>
    </row>
    <row r="125" spans="1:9" ht="15" customHeight="1" x14ac:dyDescent="0.25">
      <c r="A125" s="105" t="s">
        <v>501</v>
      </c>
      <c r="B125" s="105" t="s">
        <v>883</v>
      </c>
      <c r="C125" s="105">
        <v>1</v>
      </c>
      <c r="D125" s="105" t="s">
        <v>884</v>
      </c>
      <c r="E125" s="105">
        <v>1</v>
      </c>
      <c r="F125" s="105">
        <v>1</v>
      </c>
      <c r="G125" s="110">
        <v>3.5219999999999998</v>
      </c>
      <c r="H125" s="111">
        <f>VLOOKUP(G125,'İşçilik Parametreleri'!$E$5:$F$12,2,TRUE())</f>
        <v>1</v>
      </c>
      <c r="I125" s="112">
        <f>(('İşçilik Parametreleri'!$B$10/MAX(1,'İşçilik Parametreleri'!$B$11)+'İşçilik Parametreleri'!$B$12+'İşçilik Parametreleri'!$B$13)*H125+F125*'İşçilik Parametreleri'!$B$14)*'İşçilik Parametreleri'!$B$15*E125</f>
        <v>5.4049999999999994</v>
      </c>
    </row>
    <row r="126" spans="1:9" ht="15" customHeight="1" x14ac:dyDescent="0.25">
      <c r="A126" s="105" t="s">
        <v>494</v>
      </c>
      <c r="B126" s="105" t="s">
        <v>885</v>
      </c>
      <c r="C126" s="105">
        <v>1</v>
      </c>
      <c r="D126" s="105" t="s">
        <v>886</v>
      </c>
      <c r="E126" s="105">
        <v>1</v>
      </c>
      <c r="F126" s="105">
        <v>1</v>
      </c>
      <c r="G126" s="110">
        <v>5.1719999999999997</v>
      </c>
      <c r="H126" s="111">
        <f>VLOOKUP(G126,'İşçilik Parametreleri'!$E$5:$F$12,2,TRUE())</f>
        <v>2.25</v>
      </c>
      <c r="I126" s="112">
        <f>(('İşçilik Parametreleri'!$B$10/MAX(1,'İşçilik Parametreleri'!$B$11)+'İşçilik Parametreleri'!$B$12+'İşçilik Parametreleri'!$B$13)*H126+F126*'İşçilik Parametreleri'!$B$14)*'İşçilik Parametreleri'!$B$15*E126</f>
        <v>10.723750000000001</v>
      </c>
    </row>
    <row r="127" spans="1:9" ht="15" customHeight="1" x14ac:dyDescent="0.25">
      <c r="A127" s="105" t="s">
        <v>538</v>
      </c>
      <c r="B127" s="105" t="s">
        <v>887</v>
      </c>
      <c r="C127" s="105">
        <v>1</v>
      </c>
      <c r="D127" s="105" t="s">
        <v>888</v>
      </c>
      <c r="E127" s="105">
        <v>1</v>
      </c>
      <c r="F127" s="105">
        <v>1</v>
      </c>
      <c r="G127" s="110">
        <v>4.226</v>
      </c>
      <c r="H127" s="111">
        <f>VLOOKUP(G127,'İşçilik Parametreleri'!$E$5:$F$12,2,TRUE())</f>
        <v>1</v>
      </c>
      <c r="I127" s="112">
        <f>(('İşçilik Parametreleri'!$B$10/MAX(1,'İşçilik Parametreleri'!$B$11)+'İşçilik Parametreleri'!$B$12+'İşçilik Parametreleri'!$B$13)*H127+F127*'İşçilik Parametreleri'!$B$14)*'İşçilik Parametreleri'!$B$15*E127</f>
        <v>5.4049999999999994</v>
      </c>
    </row>
    <row r="128" spans="1:9" ht="15" customHeight="1" x14ac:dyDescent="0.25">
      <c r="A128" s="105" t="s">
        <v>595</v>
      </c>
      <c r="B128" s="105" t="s">
        <v>889</v>
      </c>
      <c r="C128" s="105">
        <v>1</v>
      </c>
      <c r="D128" s="105" t="s">
        <v>890</v>
      </c>
      <c r="E128" s="105">
        <v>1</v>
      </c>
      <c r="F128" s="105">
        <v>2</v>
      </c>
      <c r="G128" s="110">
        <v>16.311</v>
      </c>
      <c r="H128" s="111">
        <f>VLOOKUP(G128,'İşçilik Parametreleri'!$E$5:$F$12,2,TRUE())</f>
        <v>2.25</v>
      </c>
      <c r="I128" s="112">
        <f>(('İşçilik Parametreleri'!$B$10/MAX(1,'İşçilik Parametreleri'!$B$11)+'İşçilik Parametreleri'!$B$12+'İşçilik Parametreleri'!$B$13)*H128+F128*'İşçilik Parametreleri'!$B$14)*'İşçilik Parametreleri'!$B$15*E128</f>
        <v>11.873750000000001</v>
      </c>
    </row>
    <row r="129" spans="1:9" ht="15" customHeight="1" x14ac:dyDescent="0.25">
      <c r="A129" s="105" t="s">
        <v>546</v>
      </c>
      <c r="B129" s="105" t="s">
        <v>891</v>
      </c>
      <c r="C129" s="105">
        <v>1</v>
      </c>
      <c r="D129" s="105" t="s">
        <v>892</v>
      </c>
      <c r="E129" s="105">
        <v>1</v>
      </c>
      <c r="F129" s="105">
        <v>2</v>
      </c>
      <c r="G129" s="110">
        <v>1.329</v>
      </c>
      <c r="H129" s="111">
        <f>VLOOKUP(G129,'İşçilik Parametreleri'!$E$5:$F$12,2,TRUE())</f>
        <v>1</v>
      </c>
      <c r="I129" s="112">
        <f>(('İşçilik Parametreleri'!$B$10/MAX(1,'İşçilik Parametreleri'!$B$11)+'İşçilik Parametreleri'!$B$12+'İşçilik Parametreleri'!$B$13)*H129+F129*'İşçilik Parametreleri'!$B$14)*'İşçilik Parametreleri'!$B$15*E129</f>
        <v>6.5549999999999997</v>
      </c>
    </row>
    <row r="130" spans="1:9" ht="15" customHeight="1" x14ac:dyDescent="0.25">
      <c r="A130" s="105" t="s">
        <v>565</v>
      </c>
      <c r="B130" s="105" t="s">
        <v>893</v>
      </c>
      <c r="C130" s="105">
        <v>2</v>
      </c>
      <c r="D130" s="105" t="s">
        <v>894</v>
      </c>
      <c r="E130" s="105">
        <v>1</v>
      </c>
      <c r="F130" s="105">
        <v>1</v>
      </c>
      <c r="G130" s="110">
        <v>4.9850000000000003</v>
      </c>
      <c r="H130" s="111">
        <f>VLOOKUP(G130,'İşçilik Parametreleri'!$E$5:$F$12,2,TRUE())</f>
        <v>1</v>
      </c>
      <c r="I130" s="112">
        <f>(('İşçilik Parametreleri'!$B$10/MAX(1,'İşçilik Parametreleri'!$B$11)+'İşçilik Parametreleri'!$B$12+'İşçilik Parametreleri'!$B$13)*H130+F130*'İşçilik Parametreleri'!$B$14)*'İşçilik Parametreleri'!$B$15*E130</f>
        <v>5.4049999999999994</v>
      </c>
    </row>
    <row r="131" spans="1:9" ht="15" customHeight="1" x14ac:dyDescent="0.25">
      <c r="A131" s="105" t="s">
        <v>550</v>
      </c>
      <c r="B131" s="105" t="s">
        <v>895</v>
      </c>
      <c r="C131" s="105">
        <v>1</v>
      </c>
      <c r="D131" s="105" t="s">
        <v>896</v>
      </c>
      <c r="E131" s="105">
        <v>1</v>
      </c>
      <c r="F131" s="105">
        <v>2</v>
      </c>
      <c r="G131" s="110">
        <v>2.1160000000000001</v>
      </c>
      <c r="H131" s="111">
        <f>VLOOKUP(G131,'İşçilik Parametreleri'!$E$5:$F$12,2,TRUE())</f>
        <v>1</v>
      </c>
      <c r="I131" s="112">
        <f>(('İşçilik Parametreleri'!$B$10/MAX(1,'İşçilik Parametreleri'!$B$11)+'İşçilik Parametreleri'!$B$12+'İşçilik Parametreleri'!$B$13)*H131+F131*'İşçilik Parametreleri'!$B$14)*'İşçilik Parametreleri'!$B$15*E131</f>
        <v>6.5549999999999997</v>
      </c>
    </row>
    <row r="132" spans="1:9" ht="15" customHeight="1" x14ac:dyDescent="0.25">
      <c r="A132" s="105" t="s">
        <v>547</v>
      </c>
      <c r="B132" s="105" t="s">
        <v>897</v>
      </c>
      <c r="C132" s="105">
        <v>1</v>
      </c>
      <c r="D132" s="105" t="s">
        <v>898</v>
      </c>
      <c r="E132" s="105">
        <v>1</v>
      </c>
      <c r="F132" s="105">
        <v>2</v>
      </c>
      <c r="G132" s="110">
        <v>1.026</v>
      </c>
      <c r="H132" s="111">
        <f>VLOOKUP(G132,'İşçilik Parametreleri'!$E$5:$F$12,2,TRUE())</f>
        <v>1</v>
      </c>
      <c r="I132" s="112">
        <f>(('İşçilik Parametreleri'!$B$10/MAX(1,'İşçilik Parametreleri'!$B$11)+'İşçilik Parametreleri'!$B$12+'İşçilik Parametreleri'!$B$13)*H132+F132*'İşçilik Parametreleri'!$B$14)*'İşçilik Parametreleri'!$B$15*E132</f>
        <v>6.5549999999999997</v>
      </c>
    </row>
    <row r="133" spans="1:9" ht="15" customHeight="1" x14ac:dyDescent="0.25">
      <c r="A133" s="105" t="s">
        <v>533</v>
      </c>
      <c r="B133" s="105" t="s">
        <v>899</v>
      </c>
      <c r="C133" s="105">
        <v>1</v>
      </c>
      <c r="D133" s="105" t="s">
        <v>892</v>
      </c>
      <c r="E133" s="105">
        <v>1</v>
      </c>
      <c r="F133" s="105">
        <v>1</v>
      </c>
      <c r="G133" s="110">
        <v>1.1180000000000001</v>
      </c>
      <c r="H133" s="111">
        <f>VLOOKUP(G133,'İşçilik Parametreleri'!$E$5:$F$12,2,TRUE())</f>
        <v>1</v>
      </c>
      <c r="I133" s="112">
        <f>(('İşçilik Parametreleri'!$B$10/MAX(1,'İşçilik Parametreleri'!$B$11)+'İşçilik Parametreleri'!$B$12+'İşçilik Parametreleri'!$B$13)*H133+F133*'İşçilik Parametreleri'!$B$14)*'İşçilik Parametreleri'!$B$15*E133</f>
        <v>5.4049999999999994</v>
      </c>
    </row>
    <row r="134" spans="1:9" ht="15" customHeight="1" x14ac:dyDescent="0.25">
      <c r="A134" s="105" t="s">
        <v>533</v>
      </c>
      <c r="B134" s="105" t="s">
        <v>900</v>
      </c>
      <c r="C134" s="105">
        <v>3</v>
      </c>
      <c r="D134" s="105" t="s">
        <v>901</v>
      </c>
      <c r="E134" s="105">
        <v>1</v>
      </c>
      <c r="F134" s="105">
        <v>1</v>
      </c>
      <c r="G134" s="110">
        <v>0.56599999999999995</v>
      </c>
      <c r="H134" s="111">
        <f>VLOOKUP(G134,'İşçilik Parametreleri'!$E$5:$F$12,2,TRUE())</f>
        <v>1</v>
      </c>
      <c r="I134" s="112">
        <f>(('İşçilik Parametreleri'!$B$10/MAX(1,'İşçilik Parametreleri'!$B$11)+'İşçilik Parametreleri'!$B$12+'İşçilik Parametreleri'!$B$13)*H134+F134*'İşçilik Parametreleri'!$B$14)*'İşçilik Parametreleri'!$B$15*E134</f>
        <v>5.4049999999999994</v>
      </c>
    </row>
    <row r="135" spans="1:9" ht="15" customHeight="1" x14ac:dyDescent="0.25">
      <c r="A135" s="105" t="s">
        <v>529</v>
      </c>
      <c r="B135" s="105" t="s">
        <v>902</v>
      </c>
      <c r="C135" s="105">
        <v>1</v>
      </c>
      <c r="D135" s="105" t="s">
        <v>903</v>
      </c>
      <c r="E135" s="105">
        <v>1</v>
      </c>
      <c r="F135" s="105">
        <v>1</v>
      </c>
      <c r="G135" s="110">
        <v>6.0410000000000004</v>
      </c>
      <c r="H135" s="111">
        <f>VLOOKUP(G135,'İşçilik Parametreleri'!$E$5:$F$12,2,TRUE())</f>
        <v>2.25</v>
      </c>
      <c r="I135" s="112">
        <f>(('İşçilik Parametreleri'!$B$10/MAX(1,'İşçilik Parametreleri'!$B$11)+'İşçilik Parametreleri'!$B$12+'İşçilik Parametreleri'!$B$13)*H135+F135*'İşçilik Parametreleri'!$B$14)*'İşçilik Parametreleri'!$B$15*E135</f>
        <v>10.723750000000001</v>
      </c>
    </row>
    <row r="136" spans="1:9" ht="15" customHeight="1" x14ac:dyDescent="0.25">
      <c r="A136" s="105" t="s">
        <v>502</v>
      </c>
      <c r="B136" s="105" t="s">
        <v>904</v>
      </c>
      <c r="C136" s="105">
        <v>1</v>
      </c>
      <c r="D136" s="105" t="s">
        <v>905</v>
      </c>
      <c r="E136" s="105">
        <v>1</v>
      </c>
      <c r="F136" s="105">
        <v>2</v>
      </c>
      <c r="G136" s="110">
        <v>0.998</v>
      </c>
      <c r="H136" s="111">
        <f>VLOOKUP(G136,'İşçilik Parametreleri'!$E$5:$F$12,2,TRUE())</f>
        <v>1</v>
      </c>
      <c r="I136" s="112">
        <f>(('İşçilik Parametreleri'!$B$10/MAX(1,'İşçilik Parametreleri'!$B$11)+'İşçilik Parametreleri'!$B$12+'İşçilik Parametreleri'!$B$13)*H136+F136*'İşçilik Parametreleri'!$B$14)*'İşçilik Parametreleri'!$B$15*E136</f>
        <v>6.5549999999999997</v>
      </c>
    </row>
    <row r="137" spans="1:9" ht="15" customHeight="1" x14ac:dyDescent="0.25">
      <c r="A137" s="105" t="s">
        <v>564</v>
      </c>
      <c r="B137" s="105" t="s">
        <v>906</v>
      </c>
      <c r="C137" s="105">
        <v>1</v>
      </c>
      <c r="D137" s="105" t="s">
        <v>907</v>
      </c>
      <c r="E137" s="105">
        <v>1</v>
      </c>
      <c r="F137" s="105">
        <v>2</v>
      </c>
      <c r="G137" s="110">
        <v>4.6020000000000003</v>
      </c>
      <c r="H137" s="111">
        <f>VLOOKUP(G137,'İşçilik Parametreleri'!$E$5:$F$12,2,TRUE())</f>
        <v>1</v>
      </c>
      <c r="I137" s="112">
        <f>(('İşçilik Parametreleri'!$B$10/MAX(1,'İşçilik Parametreleri'!$B$11)+'İşçilik Parametreleri'!$B$12+'İşçilik Parametreleri'!$B$13)*H137+F137*'İşçilik Parametreleri'!$B$14)*'İşçilik Parametreleri'!$B$15*E137</f>
        <v>6.5549999999999997</v>
      </c>
    </row>
    <row r="138" spans="1:9" ht="15" customHeight="1" x14ac:dyDescent="0.25">
      <c r="A138" s="105" t="s">
        <v>569</v>
      </c>
      <c r="B138" s="105" t="s">
        <v>908</v>
      </c>
      <c r="C138" s="105">
        <v>1</v>
      </c>
      <c r="D138" s="105" t="s">
        <v>909</v>
      </c>
      <c r="E138" s="105">
        <v>1</v>
      </c>
      <c r="F138" s="105">
        <v>1</v>
      </c>
      <c r="G138" s="110">
        <v>4.1429999999999998</v>
      </c>
      <c r="H138" s="111">
        <f>VLOOKUP(G138,'İşçilik Parametreleri'!$E$5:$F$12,2,TRUE())</f>
        <v>1</v>
      </c>
      <c r="I138" s="112">
        <f>(('İşçilik Parametreleri'!$B$10/MAX(1,'İşçilik Parametreleri'!$B$11)+'İşçilik Parametreleri'!$B$12+'İşçilik Parametreleri'!$B$13)*H138+F138*'İşçilik Parametreleri'!$B$14)*'İşçilik Parametreleri'!$B$15*E138</f>
        <v>5.4049999999999994</v>
      </c>
    </row>
    <row r="139" spans="1:9" ht="15" customHeight="1" x14ac:dyDescent="0.25">
      <c r="A139" s="105" t="s">
        <v>560</v>
      </c>
      <c r="B139" s="105" t="s">
        <v>910</v>
      </c>
      <c r="C139" s="105">
        <v>1</v>
      </c>
      <c r="D139" s="105" t="s">
        <v>911</v>
      </c>
      <c r="E139" s="105">
        <v>1</v>
      </c>
      <c r="F139" s="105">
        <v>1</v>
      </c>
      <c r="G139" s="110">
        <v>5.1130000000000004</v>
      </c>
      <c r="H139" s="111">
        <f>VLOOKUP(G139,'İşçilik Parametreleri'!$E$5:$F$12,2,TRUE())</f>
        <v>2.25</v>
      </c>
      <c r="I139" s="112">
        <f>(('İşçilik Parametreleri'!$B$10/MAX(1,'İşçilik Parametreleri'!$B$11)+'İşçilik Parametreleri'!$B$12+'İşçilik Parametreleri'!$B$13)*H139+F139*'İşçilik Parametreleri'!$B$14)*'İşçilik Parametreleri'!$B$15*E139</f>
        <v>10.723750000000001</v>
      </c>
    </row>
    <row r="140" spans="1:9" ht="15" customHeight="1" x14ac:dyDescent="0.25">
      <c r="A140" s="105" t="s">
        <v>526</v>
      </c>
      <c r="B140" s="105" t="s">
        <v>912</v>
      </c>
      <c r="C140" s="105">
        <v>1</v>
      </c>
      <c r="D140" s="105" t="s">
        <v>913</v>
      </c>
      <c r="E140" s="105">
        <v>1</v>
      </c>
      <c r="F140" s="105">
        <v>1</v>
      </c>
      <c r="G140" s="110">
        <v>4.1050000000000004</v>
      </c>
      <c r="H140" s="111">
        <f>VLOOKUP(G140,'İşçilik Parametreleri'!$E$5:$F$12,2,TRUE())</f>
        <v>1</v>
      </c>
      <c r="I140" s="112">
        <f>(('İşçilik Parametreleri'!$B$10/MAX(1,'İşçilik Parametreleri'!$B$11)+'İşçilik Parametreleri'!$B$12+'İşçilik Parametreleri'!$B$13)*H140+F140*'İşçilik Parametreleri'!$B$14)*'İşçilik Parametreleri'!$B$15*E140</f>
        <v>5.4049999999999994</v>
      </c>
    </row>
    <row r="141" spans="1:9" ht="15" customHeight="1" x14ac:dyDescent="0.25">
      <c r="A141" s="105" t="s">
        <v>526</v>
      </c>
      <c r="B141" s="105" t="s">
        <v>914</v>
      </c>
      <c r="C141" s="105">
        <v>2</v>
      </c>
      <c r="D141" s="105" t="s">
        <v>915</v>
      </c>
      <c r="E141" s="105">
        <v>1</v>
      </c>
      <c r="F141" s="105">
        <v>2</v>
      </c>
      <c r="G141" s="110">
        <v>1.6719999999999999</v>
      </c>
      <c r="H141" s="111">
        <f>VLOOKUP(G141,'İşçilik Parametreleri'!$E$5:$F$12,2,TRUE())</f>
        <v>1</v>
      </c>
      <c r="I141" s="112">
        <f>(('İşçilik Parametreleri'!$B$10/MAX(1,'İşçilik Parametreleri'!$B$11)+'İşçilik Parametreleri'!$B$12+'İşçilik Parametreleri'!$B$13)*H141+F141*'İşçilik Parametreleri'!$B$14)*'İşçilik Parametreleri'!$B$15*E141</f>
        <v>6.5549999999999997</v>
      </c>
    </row>
    <row r="142" spans="1:9" ht="15" customHeight="1" x14ac:dyDescent="0.25">
      <c r="A142" s="105" t="s">
        <v>587</v>
      </c>
      <c r="B142" s="105" t="s">
        <v>916</v>
      </c>
      <c r="C142" s="105">
        <v>1</v>
      </c>
      <c r="D142" s="105" t="s">
        <v>917</v>
      </c>
      <c r="E142" s="105">
        <v>1</v>
      </c>
      <c r="F142" s="105">
        <v>1</v>
      </c>
      <c r="G142" s="110">
        <v>5.734</v>
      </c>
      <c r="H142" s="111">
        <f>VLOOKUP(G142,'İşçilik Parametreleri'!$E$5:$F$12,2,TRUE())</f>
        <v>2.25</v>
      </c>
      <c r="I142" s="112">
        <f>(('İşçilik Parametreleri'!$B$10/MAX(1,'İşçilik Parametreleri'!$B$11)+'İşçilik Parametreleri'!$B$12+'İşçilik Parametreleri'!$B$13)*H142+F142*'İşçilik Parametreleri'!$B$14)*'İşçilik Parametreleri'!$B$15*E142</f>
        <v>10.723750000000001</v>
      </c>
    </row>
    <row r="143" spans="1:9" ht="15" customHeight="1" x14ac:dyDescent="0.25">
      <c r="A143" s="105" t="s">
        <v>576</v>
      </c>
      <c r="B143" s="105" t="s">
        <v>918</v>
      </c>
      <c r="C143" s="105">
        <v>2</v>
      </c>
      <c r="D143" s="105" t="s">
        <v>919</v>
      </c>
      <c r="E143" s="105">
        <v>1</v>
      </c>
      <c r="F143" s="105">
        <v>4</v>
      </c>
      <c r="G143" s="110">
        <v>1.3320000000000001</v>
      </c>
      <c r="H143" s="111">
        <f>VLOOKUP(G143,'İşçilik Parametreleri'!$E$5:$F$12,2,TRUE())</f>
        <v>1</v>
      </c>
      <c r="I143" s="112">
        <f>(('İşçilik Parametreleri'!$B$10/MAX(1,'İşçilik Parametreleri'!$B$11)+'İşçilik Parametreleri'!$B$12+'İşçilik Parametreleri'!$B$13)*H143+F143*'İşçilik Parametreleri'!$B$14)*'İşçilik Parametreleri'!$B$15*E143</f>
        <v>8.8549999999999986</v>
      </c>
    </row>
    <row r="144" spans="1:9" ht="15" customHeight="1" x14ac:dyDescent="0.25">
      <c r="A144" s="105" t="s">
        <v>576</v>
      </c>
      <c r="B144" s="105" t="s">
        <v>816</v>
      </c>
      <c r="C144" s="105">
        <v>3</v>
      </c>
      <c r="D144" s="105" t="s">
        <v>920</v>
      </c>
      <c r="E144" s="105">
        <v>4</v>
      </c>
      <c r="F144" s="105">
        <v>1</v>
      </c>
      <c r="G144" s="110">
        <v>0.156</v>
      </c>
      <c r="H144" s="111">
        <f>VLOOKUP(G144,'İşçilik Parametreleri'!$E$5:$F$12,2,TRUE())</f>
        <v>1</v>
      </c>
      <c r="I144" s="112">
        <f>(('İşçilik Parametreleri'!$B$10/MAX(1,'İşçilik Parametreleri'!$B$11)+'İşçilik Parametreleri'!$B$12+'İşçilik Parametreleri'!$B$13)*H144+F144*'İşçilik Parametreleri'!$B$14)*'İşçilik Parametreleri'!$B$15*E144</f>
        <v>21.619999999999997</v>
      </c>
    </row>
    <row r="145" spans="1:9" ht="15" customHeight="1" x14ac:dyDescent="0.25">
      <c r="A145" s="105" t="s">
        <v>470</v>
      </c>
      <c r="B145" s="105" t="s">
        <v>921</v>
      </c>
      <c r="C145" s="105">
        <v>1</v>
      </c>
      <c r="D145" s="105" t="s">
        <v>922</v>
      </c>
      <c r="E145" s="105">
        <v>1</v>
      </c>
      <c r="F145" s="105">
        <v>1</v>
      </c>
      <c r="G145" s="110">
        <v>7.1040000000000001</v>
      </c>
      <c r="H145" s="111">
        <f>VLOOKUP(G145,'İşçilik Parametreleri'!$E$5:$F$12,2,TRUE())</f>
        <v>2.25</v>
      </c>
      <c r="I145" s="112">
        <f>(('İşçilik Parametreleri'!$B$10/MAX(1,'İşçilik Parametreleri'!$B$11)+'İşçilik Parametreleri'!$B$12+'İşçilik Parametreleri'!$B$13)*H145+F145*'İşçilik Parametreleri'!$B$14)*'İşçilik Parametreleri'!$B$15*E145</f>
        <v>10.723750000000001</v>
      </c>
    </row>
    <row r="146" spans="1:9" ht="15" customHeight="1" x14ac:dyDescent="0.25">
      <c r="A146" s="105" t="s">
        <v>582</v>
      </c>
      <c r="B146" s="105" t="s">
        <v>923</v>
      </c>
      <c r="C146" s="105">
        <v>1</v>
      </c>
      <c r="D146" s="105" t="s">
        <v>924</v>
      </c>
      <c r="E146" s="105">
        <v>1</v>
      </c>
      <c r="F146" s="105">
        <v>4</v>
      </c>
      <c r="G146" s="110">
        <v>1.327</v>
      </c>
      <c r="H146" s="111">
        <f>VLOOKUP(G146,'İşçilik Parametreleri'!$E$5:$F$12,2,TRUE())</f>
        <v>1</v>
      </c>
      <c r="I146" s="112">
        <f>(('İşçilik Parametreleri'!$B$10/MAX(1,'İşçilik Parametreleri'!$B$11)+'İşçilik Parametreleri'!$B$12+'İşçilik Parametreleri'!$B$13)*H146+F146*'İşçilik Parametreleri'!$B$14)*'İşçilik Parametreleri'!$B$15*E146</f>
        <v>8.8549999999999986</v>
      </c>
    </row>
    <row r="147" spans="1:9" ht="15" customHeight="1" x14ac:dyDescent="0.25">
      <c r="A147" s="105" t="s">
        <v>474</v>
      </c>
      <c r="B147" s="105" t="s">
        <v>925</v>
      </c>
      <c r="C147" s="105">
        <v>2</v>
      </c>
      <c r="D147" s="105" t="s">
        <v>926</v>
      </c>
      <c r="E147" s="105">
        <v>1</v>
      </c>
      <c r="F147" s="105">
        <v>1</v>
      </c>
      <c r="G147" s="110">
        <v>0.72499999999999998</v>
      </c>
      <c r="H147" s="111">
        <f>VLOOKUP(G147,'İşçilik Parametreleri'!$E$5:$F$12,2,TRUE())</f>
        <v>1</v>
      </c>
      <c r="I147" s="112">
        <f>(('İşçilik Parametreleri'!$B$10/MAX(1,'İşçilik Parametreleri'!$B$11)+'İşçilik Parametreleri'!$B$12+'İşçilik Parametreleri'!$B$13)*H147+F147*'İşçilik Parametreleri'!$B$14)*'İşçilik Parametreleri'!$B$15*E147</f>
        <v>5.4049999999999994</v>
      </c>
    </row>
    <row r="148" spans="1:9" ht="15" customHeight="1" x14ac:dyDescent="0.25">
      <c r="A148" s="105" t="s">
        <v>585</v>
      </c>
      <c r="B148" s="105" t="s">
        <v>927</v>
      </c>
      <c r="C148" s="105">
        <v>1</v>
      </c>
      <c r="D148" s="105" t="s">
        <v>928</v>
      </c>
      <c r="E148" s="105">
        <v>1</v>
      </c>
      <c r="F148" s="105">
        <v>3</v>
      </c>
      <c r="G148" s="110">
        <v>6.1269999999999998</v>
      </c>
      <c r="H148" s="111">
        <f>VLOOKUP(G148,'İşçilik Parametreleri'!$E$5:$F$12,2,TRUE())</f>
        <v>2.25</v>
      </c>
      <c r="I148" s="112">
        <f>(('İşçilik Parametreleri'!$B$10/MAX(1,'İşçilik Parametreleri'!$B$11)+'İşçilik Parametreleri'!$B$12+'İşçilik Parametreleri'!$B$13)*H148+F148*'İşçilik Parametreleri'!$B$14)*'İşçilik Parametreleri'!$B$15*E148</f>
        <v>13.02375</v>
      </c>
    </row>
    <row r="149" spans="1:9" ht="15" customHeight="1" x14ac:dyDescent="0.25">
      <c r="A149" s="105" t="s">
        <v>481</v>
      </c>
      <c r="B149" s="105" t="s">
        <v>929</v>
      </c>
      <c r="C149" s="105">
        <v>1</v>
      </c>
      <c r="D149" s="105" t="s">
        <v>930</v>
      </c>
      <c r="E149" s="105">
        <v>1</v>
      </c>
      <c r="F149" s="105">
        <v>2</v>
      </c>
      <c r="G149" s="110">
        <v>12.22</v>
      </c>
      <c r="H149" s="111">
        <f>VLOOKUP(G149,'İşçilik Parametreleri'!$E$5:$F$12,2,TRUE())</f>
        <v>2.25</v>
      </c>
      <c r="I149" s="112">
        <f>(('İşçilik Parametreleri'!$B$10/MAX(1,'İşçilik Parametreleri'!$B$11)+'İşçilik Parametreleri'!$B$12+'İşçilik Parametreleri'!$B$13)*H149+F149*'İşçilik Parametreleri'!$B$14)*'İşçilik Parametreleri'!$B$15*E149</f>
        <v>11.873750000000001</v>
      </c>
    </row>
    <row r="150" spans="1:9" ht="15" customHeight="1" x14ac:dyDescent="0.25">
      <c r="A150" s="105" t="s">
        <v>481</v>
      </c>
      <c r="B150" s="105" t="s">
        <v>931</v>
      </c>
      <c r="C150" s="105">
        <v>2</v>
      </c>
      <c r="D150" s="105" t="s">
        <v>932</v>
      </c>
      <c r="E150" s="105">
        <v>1</v>
      </c>
      <c r="F150" s="105">
        <v>1</v>
      </c>
      <c r="G150" s="110">
        <v>4.0410000000000004</v>
      </c>
      <c r="H150" s="111">
        <f>VLOOKUP(G150,'İşçilik Parametreleri'!$E$5:$F$12,2,TRUE())</f>
        <v>1</v>
      </c>
      <c r="I150" s="112">
        <f>(('İşçilik Parametreleri'!$B$10/MAX(1,'İşçilik Parametreleri'!$B$11)+'İşçilik Parametreleri'!$B$12+'İşçilik Parametreleri'!$B$13)*H150+F150*'İşçilik Parametreleri'!$B$14)*'İşçilik Parametreleri'!$B$15*E150</f>
        <v>5.4049999999999994</v>
      </c>
    </row>
    <row r="151" spans="1:9" ht="15" customHeight="1" x14ac:dyDescent="0.25">
      <c r="A151" s="105" t="s">
        <v>481</v>
      </c>
      <c r="B151" s="105" t="s">
        <v>933</v>
      </c>
      <c r="C151" s="105">
        <v>3</v>
      </c>
      <c r="D151" s="105" t="s">
        <v>700</v>
      </c>
      <c r="E151" s="105">
        <v>1</v>
      </c>
      <c r="F151" s="105">
        <v>1</v>
      </c>
      <c r="G151" s="110">
        <v>0.30399999999999999</v>
      </c>
      <c r="H151" s="111">
        <f>VLOOKUP(G151,'İşçilik Parametreleri'!$E$5:$F$12,2,TRUE())</f>
        <v>1</v>
      </c>
      <c r="I151" s="112">
        <f>(('İşçilik Parametreleri'!$B$10/MAX(1,'İşçilik Parametreleri'!$B$11)+'İşçilik Parametreleri'!$B$12+'İşçilik Parametreleri'!$B$13)*H151+F151*'İşçilik Parametreleri'!$B$14)*'İşçilik Parametreleri'!$B$15*E151</f>
        <v>5.4049999999999994</v>
      </c>
    </row>
    <row r="152" spans="1:9" ht="15" customHeight="1" x14ac:dyDescent="0.25">
      <c r="A152" s="105" t="s">
        <v>481</v>
      </c>
      <c r="B152" s="105" t="s">
        <v>934</v>
      </c>
      <c r="C152" s="105">
        <v>4</v>
      </c>
      <c r="D152" s="105" t="s">
        <v>700</v>
      </c>
      <c r="E152" s="105">
        <v>1</v>
      </c>
      <c r="F152" s="105">
        <v>1</v>
      </c>
      <c r="G152" s="110">
        <v>0.30399999999999999</v>
      </c>
      <c r="H152" s="111">
        <f>VLOOKUP(G152,'İşçilik Parametreleri'!$E$5:$F$12,2,TRUE())</f>
        <v>1</v>
      </c>
      <c r="I152" s="112">
        <f>(('İşçilik Parametreleri'!$B$10/MAX(1,'İşçilik Parametreleri'!$B$11)+'İşçilik Parametreleri'!$B$12+'İşçilik Parametreleri'!$B$13)*H152+F152*'İşçilik Parametreleri'!$B$14)*'İşçilik Parametreleri'!$B$15*E152</f>
        <v>5.4049999999999994</v>
      </c>
    </row>
    <row r="153" spans="1:9" ht="15" customHeight="1" x14ac:dyDescent="0.25">
      <c r="A153" s="105" t="s">
        <v>481</v>
      </c>
      <c r="B153" s="105" t="s">
        <v>935</v>
      </c>
      <c r="C153" s="105">
        <v>5</v>
      </c>
      <c r="D153" s="105" t="s">
        <v>700</v>
      </c>
      <c r="E153" s="105">
        <v>1</v>
      </c>
      <c r="F153" s="105">
        <v>1</v>
      </c>
      <c r="G153" s="110">
        <v>0.35099999999999998</v>
      </c>
      <c r="H153" s="111">
        <f>VLOOKUP(G153,'İşçilik Parametreleri'!$E$5:$F$12,2,TRUE())</f>
        <v>1</v>
      </c>
      <c r="I153" s="112">
        <f>(('İşçilik Parametreleri'!$B$10/MAX(1,'İşçilik Parametreleri'!$B$11)+'İşçilik Parametreleri'!$B$12+'İşçilik Parametreleri'!$B$13)*H153+F153*'İşçilik Parametreleri'!$B$14)*'İşçilik Parametreleri'!$B$15*E153</f>
        <v>5.4049999999999994</v>
      </c>
    </row>
    <row r="154" spans="1:9" ht="15" customHeight="1" x14ac:dyDescent="0.25">
      <c r="A154" s="105" t="s">
        <v>453</v>
      </c>
      <c r="B154" s="105" t="s">
        <v>936</v>
      </c>
      <c r="C154" s="105">
        <v>1</v>
      </c>
      <c r="D154" s="105" t="s">
        <v>937</v>
      </c>
      <c r="E154" s="105">
        <v>1</v>
      </c>
      <c r="F154" s="105">
        <v>1</v>
      </c>
      <c r="G154" s="110">
        <v>5.87</v>
      </c>
      <c r="H154" s="111">
        <f>VLOOKUP(G154,'İşçilik Parametreleri'!$E$5:$F$12,2,TRUE())</f>
        <v>2.25</v>
      </c>
      <c r="I154" s="112">
        <f>(('İşçilik Parametreleri'!$B$10/MAX(1,'İşçilik Parametreleri'!$B$11)+'İşçilik Parametreleri'!$B$12+'İşçilik Parametreleri'!$B$13)*H154+F154*'İşçilik Parametreleri'!$B$14)*'İşçilik Parametreleri'!$B$15*E154</f>
        <v>10.723750000000001</v>
      </c>
    </row>
    <row r="155" spans="1:9" ht="15" customHeight="1" x14ac:dyDescent="0.25">
      <c r="A155" s="105" t="s">
        <v>453</v>
      </c>
      <c r="B155" s="105" t="s">
        <v>938</v>
      </c>
      <c r="C155" s="105">
        <v>2</v>
      </c>
      <c r="D155" s="105" t="s">
        <v>939</v>
      </c>
      <c r="E155" s="105">
        <v>1</v>
      </c>
      <c r="F155" s="105">
        <v>1</v>
      </c>
      <c r="G155" s="110">
        <v>5.87</v>
      </c>
      <c r="H155" s="111">
        <f>VLOOKUP(G155,'İşçilik Parametreleri'!$E$5:$F$12,2,TRUE())</f>
        <v>2.25</v>
      </c>
      <c r="I155" s="112">
        <f>(('İşçilik Parametreleri'!$B$10/MAX(1,'İşçilik Parametreleri'!$B$11)+'İşçilik Parametreleri'!$B$12+'İşçilik Parametreleri'!$B$13)*H155+F155*'İşçilik Parametreleri'!$B$14)*'İşçilik Parametreleri'!$B$15*E155</f>
        <v>10.723750000000001</v>
      </c>
    </row>
    <row r="156" spans="1:9" ht="15" customHeight="1" x14ac:dyDescent="0.25">
      <c r="A156" s="105" t="s">
        <v>453</v>
      </c>
      <c r="B156" s="105" t="s">
        <v>940</v>
      </c>
      <c r="C156" s="105">
        <v>5</v>
      </c>
      <c r="D156" s="105" t="s">
        <v>941</v>
      </c>
      <c r="E156" s="105">
        <v>2</v>
      </c>
      <c r="F156" s="105">
        <v>2</v>
      </c>
      <c r="G156" s="110">
        <v>0.186</v>
      </c>
      <c r="H156" s="111">
        <f>VLOOKUP(G156,'İşçilik Parametreleri'!$E$5:$F$12,2,TRUE())</f>
        <v>1</v>
      </c>
      <c r="I156" s="112">
        <f>(('İşçilik Parametreleri'!$B$10/MAX(1,'İşçilik Parametreleri'!$B$11)+'İşçilik Parametreleri'!$B$12+'İşçilik Parametreleri'!$B$13)*H156+F156*'İşçilik Parametreleri'!$B$14)*'İşçilik Parametreleri'!$B$15*E156</f>
        <v>13.11</v>
      </c>
    </row>
    <row r="157" spans="1:9" ht="15" customHeight="1" x14ac:dyDescent="0.25">
      <c r="A157" s="105" t="s">
        <v>450</v>
      </c>
      <c r="B157" s="105" t="s">
        <v>942</v>
      </c>
      <c r="C157" s="105">
        <v>1</v>
      </c>
      <c r="D157" s="105" t="s">
        <v>943</v>
      </c>
      <c r="E157" s="105">
        <v>1</v>
      </c>
      <c r="F157" s="105">
        <v>1</v>
      </c>
      <c r="G157" s="110">
        <v>5.0110000000000001</v>
      </c>
      <c r="H157" s="111">
        <f>VLOOKUP(G157,'İşçilik Parametreleri'!$E$5:$F$12,2,TRUE())</f>
        <v>2.25</v>
      </c>
      <c r="I157" s="112">
        <f>(('İşçilik Parametreleri'!$B$10/MAX(1,'İşçilik Parametreleri'!$B$11)+'İşçilik Parametreleri'!$B$12+'İşçilik Parametreleri'!$B$13)*H157+F157*'İşçilik Parametreleri'!$B$14)*'İşçilik Parametreleri'!$B$15*E157</f>
        <v>10.723750000000001</v>
      </c>
    </row>
    <row r="158" spans="1:9" ht="15" customHeight="1" x14ac:dyDescent="0.25">
      <c r="A158" s="105" t="s">
        <v>450</v>
      </c>
      <c r="B158" s="105" t="s">
        <v>944</v>
      </c>
      <c r="C158" s="105">
        <v>2</v>
      </c>
      <c r="D158" s="105" t="s">
        <v>945</v>
      </c>
      <c r="E158" s="105">
        <v>1</v>
      </c>
      <c r="F158" s="105">
        <v>4</v>
      </c>
      <c r="G158" s="110">
        <v>3.2149999999999999</v>
      </c>
      <c r="H158" s="111">
        <f>VLOOKUP(G158,'İşçilik Parametreleri'!$E$5:$F$12,2,TRUE())</f>
        <v>1</v>
      </c>
      <c r="I158" s="112">
        <f>(('İşçilik Parametreleri'!$B$10/MAX(1,'İşçilik Parametreleri'!$B$11)+'İşçilik Parametreleri'!$B$12+'İşçilik Parametreleri'!$B$13)*H158+F158*'İşçilik Parametreleri'!$B$14)*'İşçilik Parametreleri'!$B$15*E158</f>
        <v>8.8549999999999986</v>
      </c>
    </row>
    <row r="159" spans="1:9" ht="15" customHeight="1" x14ac:dyDescent="0.25">
      <c r="A159" s="105" t="s">
        <v>520</v>
      </c>
      <c r="B159" s="105" t="s">
        <v>946</v>
      </c>
      <c r="C159" s="105">
        <v>1</v>
      </c>
      <c r="D159" s="105" t="s">
        <v>947</v>
      </c>
      <c r="E159" s="105">
        <v>1</v>
      </c>
      <c r="F159" s="105">
        <v>2</v>
      </c>
      <c r="G159" s="110">
        <v>1.1950000000000001</v>
      </c>
      <c r="H159" s="111">
        <f>VLOOKUP(G159,'İşçilik Parametreleri'!$E$5:$F$12,2,TRUE())</f>
        <v>1</v>
      </c>
      <c r="I159" s="112">
        <f>(('İşçilik Parametreleri'!$B$10/MAX(1,'İşçilik Parametreleri'!$B$11)+'İşçilik Parametreleri'!$B$12+'İşçilik Parametreleri'!$B$13)*H159+F159*'İşçilik Parametreleri'!$B$14)*'İşçilik Parametreleri'!$B$15*E159</f>
        <v>6.5549999999999997</v>
      </c>
    </row>
    <row r="160" spans="1:9" ht="15" customHeight="1" x14ac:dyDescent="0.25">
      <c r="A160" s="105" t="s">
        <v>610</v>
      </c>
      <c r="B160" s="105" t="s">
        <v>948</v>
      </c>
      <c r="C160" s="105">
        <v>1</v>
      </c>
      <c r="D160" s="105" t="s">
        <v>949</v>
      </c>
      <c r="E160" s="105">
        <v>1</v>
      </c>
      <c r="F160" s="105">
        <v>2</v>
      </c>
      <c r="G160" s="110">
        <v>0.95</v>
      </c>
      <c r="H160" s="111">
        <f>VLOOKUP(G160,'İşçilik Parametreleri'!$E$5:$F$12,2,TRUE())</f>
        <v>1</v>
      </c>
      <c r="I160" s="112">
        <f>(('İşçilik Parametreleri'!$B$10/MAX(1,'İşçilik Parametreleri'!$B$11)+'İşçilik Parametreleri'!$B$12+'İşçilik Parametreleri'!$B$13)*H160+F160*'İşçilik Parametreleri'!$B$14)*'İşçilik Parametreleri'!$B$15*E160</f>
        <v>6.5549999999999997</v>
      </c>
    </row>
    <row r="161" spans="1:9" ht="15" customHeight="1" x14ac:dyDescent="0.25">
      <c r="A161" s="105" t="s">
        <v>476</v>
      </c>
      <c r="B161" s="105" t="s">
        <v>950</v>
      </c>
      <c r="C161" s="105">
        <v>1</v>
      </c>
      <c r="D161" s="105" t="s">
        <v>951</v>
      </c>
      <c r="E161" s="105">
        <v>1</v>
      </c>
      <c r="F161" s="105">
        <v>2</v>
      </c>
      <c r="G161" s="110">
        <v>0.158</v>
      </c>
      <c r="H161" s="111">
        <f>VLOOKUP(G161,'İşçilik Parametreleri'!$E$5:$F$12,2,TRUE())</f>
        <v>1</v>
      </c>
      <c r="I161" s="112">
        <f>(('İşçilik Parametreleri'!$B$10/MAX(1,'İşçilik Parametreleri'!$B$11)+'İşçilik Parametreleri'!$B$12+'İşçilik Parametreleri'!$B$13)*H161+F161*'İşçilik Parametreleri'!$B$14)*'İşçilik Parametreleri'!$B$15*E161</f>
        <v>6.5549999999999997</v>
      </c>
    </row>
    <row r="162" spans="1:9" ht="15" customHeight="1" x14ac:dyDescent="0.25">
      <c r="A162" s="105" t="s">
        <v>477</v>
      </c>
      <c r="B162" s="105" t="s">
        <v>952</v>
      </c>
      <c r="C162" s="105">
        <v>1</v>
      </c>
      <c r="D162" s="105" t="s">
        <v>953</v>
      </c>
      <c r="E162" s="105">
        <v>1</v>
      </c>
      <c r="F162" s="105">
        <v>2</v>
      </c>
      <c r="G162" s="110">
        <v>15.891999999999999</v>
      </c>
      <c r="H162" s="111">
        <f>VLOOKUP(G162,'İşçilik Parametreleri'!$E$5:$F$12,2,TRUE())</f>
        <v>2.25</v>
      </c>
      <c r="I162" s="112">
        <f>(('İşçilik Parametreleri'!$B$10/MAX(1,'İşçilik Parametreleri'!$B$11)+'İşçilik Parametreleri'!$B$12+'İşçilik Parametreleri'!$B$13)*H162+F162*'İşçilik Parametreleri'!$B$14)*'İşçilik Parametreleri'!$B$15*E162</f>
        <v>11.873750000000001</v>
      </c>
    </row>
    <row r="163" spans="1:9" ht="15" customHeight="1" x14ac:dyDescent="0.25">
      <c r="A163" s="105" t="s">
        <v>449</v>
      </c>
      <c r="B163" s="105" t="s">
        <v>954</v>
      </c>
      <c r="C163" s="105">
        <v>1</v>
      </c>
      <c r="D163" s="105" t="s">
        <v>738</v>
      </c>
      <c r="E163" s="105">
        <v>1</v>
      </c>
      <c r="F163" s="105">
        <v>2</v>
      </c>
      <c r="G163" s="110">
        <v>0.83299999999999996</v>
      </c>
      <c r="H163" s="111">
        <f>VLOOKUP(G163,'İşçilik Parametreleri'!$E$5:$F$12,2,TRUE())</f>
        <v>1</v>
      </c>
      <c r="I163" s="112">
        <f>(('İşçilik Parametreleri'!$B$10/MAX(1,'İşçilik Parametreleri'!$B$11)+'İşçilik Parametreleri'!$B$12+'İşçilik Parametreleri'!$B$13)*H163+F163*'İşçilik Parametreleri'!$B$14)*'İşçilik Parametreleri'!$B$15*E163</f>
        <v>6.5549999999999997</v>
      </c>
    </row>
    <row r="164" spans="1:9" ht="15" customHeight="1" x14ac:dyDescent="0.25">
      <c r="A164" s="105" t="s">
        <v>455</v>
      </c>
      <c r="B164" s="105" t="s">
        <v>955</v>
      </c>
      <c r="C164" s="105">
        <v>2</v>
      </c>
      <c r="D164" s="105" t="s">
        <v>956</v>
      </c>
      <c r="E164" s="105">
        <v>1</v>
      </c>
      <c r="F164" s="105">
        <v>2</v>
      </c>
      <c r="G164" s="110">
        <v>0.251</v>
      </c>
      <c r="H164" s="111">
        <f>VLOOKUP(G164,'İşçilik Parametreleri'!$E$5:$F$12,2,TRUE())</f>
        <v>1</v>
      </c>
      <c r="I164" s="112">
        <f>(('İşçilik Parametreleri'!$B$10/MAX(1,'İşçilik Parametreleri'!$B$11)+'İşçilik Parametreleri'!$B$12+'İşçilik Parametreleri'!$B$13)*H164+F164*'İşçilik Parametreleri'!$B$14)*'İşçilik Parametreleri'!$B$15*E164</f>
        <v>6.5549999999999997</v>
      </c>
    </row>
    <row r="165" spans="1:9" ht="15" customHeight="1" x14ac:dyDescent="0.25">
      <c r="A165" s="105" t="s">
        <v>491</v>
      </c>
      <c r="B165" s="105" t="s">
        <v>957</v>
      </c>
      <c r="C165" s="105">
        <v>1</v>
      </c>
      <c r="D165" s="105" t="s">
        <v>749</v>
      </c>
      <c r="E165" s="105">
        <v>1</v>
      </c>
      <c r="F165" s="105">
        <v>1</v>
      </c>
      <c r="G165" s="110">
        <v>0.30199999999999999</v>
      </c>
      <c r="H165" s="111">
        <f>VLOOKUP(G165,'İşçilik Parametreleri'!$E$5:$F$12,2,TRUE())</f>
        <v>1</v>
      </c>
      <c r="I165" s="112">
        <f>(('İşçilik Parametreleri'!$B$10/MAX(1,'İşçilik Parametreleri'!$B$11)+'İşçilik Parametreleri'!$B$12+'İşçilik Parametreleri'!$B$13)*H165+F165*'İşçilik Parametreleri'!$B$14)*'İşçilik Parametreleri'!$B$15*E165</f>
        <v>5.4049999999999994</v>
      </c>
    </row>
    <row r="166" spans="1:9" ht="15" customHeight="1" x14ac:dyDescent="0.25">
      <c r="A166" s="105" t="s">
        <v>504</v>
      </c>
      <c r="B166" s="105" t="s">
        <v>958</v>
      </c>
      <c r="C166" s="105">
        <v>1</v>
      </c>
      <c r="D166" s="105" t="s">
        <v>749</v>
      </c>
      <c r="E166" s="105">
        <v>2</v>
      </c>
      <c r="F166" s="105">
        <v>2</v>
      </c>
      <c r="G166" s="110">
        <v>0.107</v>
      </c>
      <c r="H166" s="111">
        <f>VLOOKUP(G166,'İşçilik Parametreleri'!$E$5:$F$12,2,TRUE())</f>
        <v>1</v>
      </c>
      <c r="I166" s="112">
        <f>(('İşçilik Parametreleri'!$B$10/MAX(1,'İşçilik Parametreleri'!$B$11)+'İşçilik Parametreleri'!$B$12+'İşçilik Parametreleri'!$B$13)*H166+F166*'İşçilik Parametreleri'!$B$14)*'İşçilik Parametreleri'!$B$15*E166</f>
        <v>13.11</v>
      </c>
    </row>
    <row r="167" spans="1:9" ht="15" customHeight="1" x14ac:dyDescent="0.25">
      <c r="A167" s="105" t="s">
        <v>504</v>
      </c>
      <c r="B167" s="105" t="s">
        <v>959</v>
      </c>
      <c r="C167" s="105">
        <v>2</v>
      </c>
      <c r="D167" s="105" t="s">
        <v>749</v>
      </c>
      <c r="E167" s="105">
        <v>5</v>
      </c>
      <c r="F167" s="105">
        <v>4</v>
      </c>
      <c r="G167" s="110">
        <v>0.217</v>
      </c>
      <c r="H167" s="111">
        <f>VLOOKUP(G167,'İşçilik Parametreleri'!$E$5:$F$12,2,TRUE())</f>
        <v>1</v>
      </c>
      <c r="I167" s="112">
        <f>(('İşçilik Parametreleri'!$B$10/MAX(1,'İşçilik Parametreleri'!$B$11)+'İşçilik Parametreleri'!$B$12+'İşçilik Parametreleri'!$B$13)*H167+F167*'İşçilik Parametreleri'!$B$14)*'İşçilik Parametreleri'!$B$15*E167</f>
        <v>44.274999999999991</v>
      </c>
    </row>
    <row r="168" spans="1:9" ht="15" customHeight="1" x14ac:dyDescent="0.25">
      <c r="A168" s="105" t="s">
        <v>600</v>
      </c>
      <c r="B168" s="105" t="s">
        <v>960</v>
      </c>
      <c r="C168" s="105">
        <v>2</v>
      </c>
      <c r="D168" s="105" t="s">
        <v>749</v>
      </c>
      <c r="E168" s="105">
        <v>1</v>
      </c>
      <c r="F168" s="105">
        <v>2</v>
      </c>
      <c r="G168" s="110">
        <v>0.13600000000000001</v>
      </c>
      <c r="H168" s="111">
        <f>VLOOKUP(G168,'İşçilik Parametreleri'!$E$5:$F$12,2,TRUE())</f>
        <v>1</v>
      </c>
      <c r="I168" s="112">
        <f>(('İşçilik Parametreleri'!$B$10/MAX(1,'İşçilik Parametreleri'!$B$11)+'İşçilik Parametreleri'!$B$12+'İşçilik Parametreleri'!$B$13)*H168+F168*'İşçilik Parametreleri'!$B$14)*'İşçilik Parametreleri'!$B$15*E168</f>
        <v>6.5549999999999997</v>
      </c>
    </row>
    <row r="169" spans="1:9" ht="15" customHeight="1" x14ac:dyDescent="0.25">
      <c r="A169" s="105" t="s">
        <v>572</v>
      </c>
      <c r="B169" s="105" t="s">
        <v>961</v>
      </c>
      <c r="C169" s="105">
        <v>2</v>
      </c>
      <c r="D169" s="105" t="s">
        <v>962</v>
      </c>
      <c r="E169" s="105">
        <v>2</v>
      </c>
      <c r="F169" s="105">
        <v>4</v>
      </c>
      <c r="G169" s="110">
        <v>2.8820000000000001</v>
      </c>
      <c r="H169" s="111">
        <f>VLOOKUP(G169,'İşçilik Parametreleri'!$E$5:$F$12,2,TRUE())</f>
        <v>1</v>
      </c>
      <c r="I169" s="112">
        <f>(('İşçilik Parametreleri'!$B$10/MAX(1,'İşçilik Parametreleri'!$B$11)+'İşçilik Parametreleri'!$B$12+'İşçilik Parametreleri'!$B$13)*H169+F169*'İşçilik Parametreleri'!$B$14)*'İşçilik Parametreleri'!$B$15*E169</f>
        <v>17.709999999999997</v>
      </c>
    </row>
    <row r="170" spans="1:9" ht="15" customHeight="1" x14ac:dyDescent="0.25">
      <c r="A170" s="105" t="s">
        <v>588</v>
      </c>
      <c r="B170" s="105" t="s">
        <v>963</v>
      </c>
      <c r="C170" s="105">
        <v>1</v>
      </c>
      <c r="D170" s="105" t="s">
        <v>749</v>
      </c>
      <c r="E170" s="105">
        <v>1</v>
      </c>
      <c r="F170" s="105">
        <v>4</v>
      </c>
      <c r="G170" s="110">
        <v>4.9539999999999997</v>
      </c>
      <c r="H170" s="111">
        <f>VLOOKUP(G170,'İşçilik Parametreleri'!$E$5:$F$12,2,TRUE())</f>
        <v>1</v>
      </c>
      <c r="I170" s="112">
        <f>(('İşçilik Parametreleri'!$B$10/MAX(1,'İşçilik Parametreleri'!$B$11)+'İşçilik Parametreleri'!$B$12+'İşçilik Parametreleri'!$B$13)*H170+F170*'İşçilik Parametreleri'!$B$14)*'İşçilik Parametreleri'!$B$15*E170</f>
        <v>8.8549999999999986</v>
      </c>
    </row>
    <row r="171" spans="1:9" ht="15" customHeight="1" x14ac:dyDescent="0.25">
      <c r="A171" s="105" t="s">
        <v>589</v>
      </c>
      <c r="B171" s="105" t="s">
        <v>964</v>
      </c>
      <c r="C171" s="105">
        <v>1</v>
      </c>
      <c r="D171" s="105" t="s">
        <v>749</v>
      </c>
      <c r="E171" s="105">
        <v>1</v>
      </c>
      <c r="F171" s="105">
        <v>4</v>
      </c>
      <c r="G171" s="110">
        <v>4.9539999999999997</v>
      </c>
      <c r="H171" s="111">
        <f>VLOOKUP(G171,'İşçilik Parametreleri'!$E$5:$F$12,2,TRUE())</f>
        <v>1</v>
      </c>
      <c r="I171" s="112">
        <f>(('İşçilik Parametreleri'!$B$10/MAX(1,'İşçilik Parametreleri'!$B$11)+'İşçilik Parametreleri'!$B$12+'İşçilik Parametreleri'!$B$13)*H171+F171*'İşçilik Parametreleri'!$B$14)*'İşçilik Parametreleri'!$B$15*E171</f>
        <v>8.8549999999999986</v>
      </c>
    </row>
    <row r="172" spans="1:9" ht="15" customHeight="1" x14ac:dyDescent="0.25">
      <c r="A172" s="105" t="s">
        <v>469</v>
      </c>
      <c r="B172" s="105" t="s">
        <v>965</v>
      </c>
      <c r="C172" s="105">
        <v>1</v>
      </c>
      <c r="D172" s="105" t="s">
        <v>749</v>
      </c>
      <c r="E172" s="105">
        <v>1</v>
      </c>
      <c r="F172" s="105">
        <v>1</v>
      </c>
      <c r="G172" s="110">
        <v>2.3879999999999999</v>
      </c>
      <c r="H172" s="111">
        <f>VLOOKUP(G172,'İşçilik Parametreleri'!$E$5:$F$12,2,TRUE())</f>
        <v>1</v>
      </c>
      <c r="I172" s="112">
        <f>(('İşçilik Parametreleri'!$B$10/MAX(1,'İşçilik Parametreleri'!$B$11)+'İşçilik Parametreleri'!$B$12+'İşçilik Parametreleri'!$B$13)*H172+F172*'İşçilik Parametreleri'!$B$14)*'İşçilik Parametreleri'!$B$15*E172</f>
        <v>5.4049999999999994</v>
      </c>
    </row>
    <row r="173" spans="1:9" ht="15" customHeight="1" x14ac:dyDescent="0.25">
      <c r="A173" s="105" t="s">
        <v>518</v>
      </c>
      <c r="B173" s="105" t="s">
        <v>966</v>
      </c>
      <c r="C173" s="105">
        <v>1</v>
      </c>
      <c r="D173" s="105" t="s">
        <v>749</v>
      </c>
      <c r="E173" s="105">
        <v>1</v>
      </c>
      <c r="F173" s="105">
        <v>1</v>
      </c>
      <c r="G173" s="110">
        <v>2.2389999999999999</v>
      </c>
      <c r="H173" s="111">
        <f>VLOOKUP(G173,'İşçilik Parametreleri'!$E$5:$F$12,2,TRUE())</f>
        <v>1</v>
      </c>
      <c r="I173" s="112">
        <f>(('İşçilik Parametreleri'!$B$10/MAX(1,'İşçilik Parametreleri'!$B$11)+'İşçilik Parametreleri'!$B$12+'İşçilik Parametreleri'!$B$13)*H173+F173*'İşçilik Parametreleri'!$B$14)*'İşçilik Parametreleri'!$B$15*E173</f>
        <v>5.4049999999999994</v>
      </c>
    </row>
    <row r="174" spans="1:9" ht="15" customHeight="1" x14ac:dyDescent="0.25">
      <c r="A174" s="105" t="s">
        <v>611</v>
      </c>
      <c r="B174" s="105" t="s">
        <v>967</v>
      </c>
      <c r="C174" s="105">
        <v>1</v>
      </c>
      <c r="D174" s="105" t="s">
        <v>749</v>
      </c>
      <c r="E174" s="105">
        <v>1</v>
      </c>
      <c r="F174" s="105">
        <v>1</v>
      </c>
      <c r="G174" s="110">
        <v>1.1519999999999999</v>
      </c>
      <c r="H174" s="111">
        <f>VLOOKUP(G174,'İşçilik Parametreleri'!$E$5:$F$12,2,TRUE())</f>
        <v>1</v>
      </c>
      <c r="I174" s="112">
        <f>(('İşçilik Parametreleri'!$B$10/MAX(1,'İşçilik Parametreleri'!$B$11)+'İşçilik Parametreleri'!$B$12+'İşçilik Parametreleri'!$B$13)*H174+F174*'İşçilik Parametreleri'!$B$14)*'İşçilik Parametreleri'!$B$15*E174</f>
        <v>5.4049999999999994</v>
      </c>
    </row>
    <row r="175" spans="1:9" ht="15" customHeight="1" x14ac:dyDescent="0.25">
      <c r="A175" s="105" t="s">
        <v>496</v>
      </c>
      <c r="B175" s="105" t="s">
        <v>968</v>
      </c>
      <c r="C175" s="105">
        <v>1</v>
      </c>
      <c r="D175" s="105" t="s">
        <v>953</v>
      </c>
      <c r="E175" s="105">
        <v>1</v>
      </c>
      <c r="F175" s="105">
        <v>2</v>
      </c>
      <c r="G175" s="110">
        <v>15.391</v>
      </c>
      <c r="H175" s="111">
        <f>VLOOKUP(G175,'İşçilik Parametreleri'!$E$5:$F$12,2,TRUE())</f>
        <v>2.25</v>
      </c>
      <c r="I175" s="112">
        <f>(('İşçilik Parametreleri'!$B$10/MAX(1,'İşçilik Parametreleri'!$B$11)+'İşçilik Parametreleri'!$B$12+'İşçilik Parametreleri'!$B$13)*H175+F175*'İşçilik Parametreleri'!$B$14)*'İşçilik Parametreleri'!$B$15*E175</f>
        <v>11.873750000000001</v>
      </c>
    </row>
    <row r="176" spans="1:9" ht="15" customHeight="1" x14ac:dyDescent="0.25">
      <c r="A176" s="105" t="s">
        <v>445</v>
      </c>
      <c r="B176" s="105" t="s">
        <v>969</v>
      </c>
      <c r="C176" s="105">
        <v>1</v>
      </c>
      <c r="D176" s="105" t="s">
        <v>937</v>
      </c>
      <c r="E176" s="105">
        <v>1</v>
      </c>
      <c r="F176" s="105">
        <v>1</v>
      </c>
      <c r="G176" s="110">
        <v>5.782</v>
      </c>
      <c r="H176" s="111">
        <f>VLOOKUP(G176,'İşçilik Parametreleri'!$E$5:$F$12,2,TRUE())</f>
        <v>2.25</v>
      </c>
      <c r="I176" s="112">
        <f>(('İşçilik Parametreleri'!$B$10/MAX(1,'İşçilik Parametreleri'!$B$11)+'İşçilik Parametreleri'!$B$12+'İşçilik Parametreleri'!$B$13)*H176+F176*'İşçilik Parametreleri'!$B$14)*'İşçilik Parametreleri'!$B$15*E176</f>
        <v>10.723750000000001</v>
      </c>
    </row>
    <row r="177" spans="1:9" ht="15" customHeight="1" x14ac:dyDescent="0.25">
      <c r="A177" s="105" t="s">
        <v>445</v>
      </c>
      <c r="B177" s="105" t="s">
        <v>970</v>
      </c>
      <c r="C177" s="105">
        <v>2</v>
      </c>
      <c r="D177" s="105" t="s">
        <v>939</v>
      </c>
      <c r="E177" s="105">
        <v>1</v>
      </c>
      <c r="F177" s="105">
        <v>1</v>
      </c>
      <c r="G177" s="110">
        <v>5.782</v>
      </c>
      <c r="H177" s="111">
        <f>VLOOKUP(G177,'İşçilik Parametreleri'!$E$5:$F$12,2,TRUE())</f>
        <v>2.25</v>
      </c>
      <c r="I177" s="112">
        <f>(('İşçilik Parametreleri'!$B$10/MAX(1,'İşçilik Parametreleri'!$B$11)+'İşçilik Parametreleri'!$B$12+'İşçilik Parametreleri'!$B$13)*H177+F177*'İşçilik Parametreleri'!$B$14)*'İşçilik Parametreleri'!$B$15*E177</f>
        <v>10.723750000000001</v>
      </c>
    </row>
    <row r="178" spans="1:9" ht="15" customHeight="1" x14ac:dyDescent="0.25">
      <c r="A178" s="105" t="s">
        <v>445</v>
      </c>
      <c r="B178" s="105" t="s">
        <v>971</v>
      </c>
      <c r="C178" s="105">
        <v>5</v>
      </c>
      <c r="D178" s="105" t="s">
        <v>941</v>
      </c>
      <c r="E178" s="105">
        <v>2</v>
      </c>
      <c r="F178" s="105">
        <v>2</v>
      </c>
      <c r="G178" s="110">
        <v>0.17499999999999999</v>
      </c>
      <c r="H178" s="111">
        <f>VLOOKUP(G178,'İşçilik Parametreleri'!$E$5:$F$12,2,TRUE())</f>
        <v>1</v>
      </c>
      <c r="I178" s="112">
        <f>(('İşçilik Parametreleri'!$B$10/MAX(1,'İşçilik Parametreleri'!$B$11)+'İşçilik Parametreleri'!$B$12+'İşçilik Parametreleri'!$B$13)*H178+F178*'İşçilik Parametreleri'!$B$14)*'İşçilik Parametreleri'!$B$15*E178</f>
        <v>13.11</v>
      </c>
    </row>
    <row r="179" spans="1:9" ht="15" customHeight="1" x14ac:dyDescent="0.25">
      <c r="A179" s="105" t="s">
        <v>448</v>
      </c>
      <c r="B179" s="105" t="s">
        <v>972</v>
      </c>
      <c r="C179" s="105">
        <v>1</v>
      </c>
      <c r="D179" s="105" t="s">
        <v>973</v>
      </c>
      <c r="E179" s="105">
        <v>1</v>
      </c>
      <c r="F179" s="105">
        <v>1</v>
      </c>
      <c r="G179" s="110">
        <v>3.7589999999999999</v>
      </c>
      <c r="H179" s="111">
        <f>VLOOKUP(G179,'İşçilik Parametreleri'!$E$5:$F$12,2,TRUE())</f>
        <v>1</v>
      </c>
      <c r="I179" s="112">
        <f>(('İşçilik Parametreleri'!$B$10/MAX(1,'İşçilik Parametreleri'!$B$11)+'İşçilik Parametreleri'!$B$12+'İşçilik Parametreleri'!$B$13)*H179+F179*'İşçilik Parametreleri'!$B$14)*'İşçilik Parametreleri'!$B$15*E179</f>
        <v>5.4049999999999994</v>
      </c>
    </row>
    <row r="180" spans="1:9" ht="15" customHeight="1" x14ac:dyDescent="0.25">
      <c r="A180" s="105" t="s">
        <v>448</v>
      </c>
      <c r="B180" s="105" t="s">
        <v>944</v>
      </c>
      <c r="C180" s="105">
        <v>3</v>
      </c>
      <c r="D180" s="105" t="s">
        <v>945</v>
      </c>
      <c r="E180" s="105">
        <v>1</v>
      </c>
      <c r="F180" s="105">
        <v>4</v>
      </c>
      <c r="G180" s="110">
        <v>3.2149999999999999</v>
      </c>
      <c r="H180" s="111">
        <f>VLOOKUP(G180,'İşçilik Parametreleri'!$E$5:$F$12,2,TRUE())</f>
        <v>1</v>
      </c>
      <c r="I180" s="112">
        <f>(('İşçilik Parametreleri'!$B$10/MAX(1,'İşçilik Parametreleri'!$B$11)+'İşçilik Parametreleri'!$B$12+'İşçilik Parametreleri'!$B$13)*H180+F180*'İşçilik Parametreleri'!$B$14)*'İşçilik Parametreleri'!$B$15*E180</f>
        <v>8.8549999999999986</v>
      </c>
    </row>
    <row r="181" spans="1:9" ht="15" customHeight="1" x14ac:dyDescent="0.25">
      <c r="A181" s="105" t="s">
        <v>468</v>
      </c>
      <c r="B181" s="105" t="s">
        <v>974</v>
      </c>
      <c r="C181" s="105">
        <v>1</v>
      </c>
      <c r="D181" s="105" t="s">
        <v>975</v>
      </c>
      <c r="E181" s="105">
        <v>1</v>
      </c>
      <c r="F181" s="105">
        <v>2</v>
      </c>
      <c r="G181" s="110">
        <v>3.6040000000000001</v>
      </c>
      <c r="H181" s="111">
        <f>VLOOKUP(G181,'İşçilik Parametreleri'!$E$5:$F$12,2,TRUE())</f>
        <v>1</v>
      </c>
      <c r="I181" s="112">
        <f>(('İşçilik Parametreleri'!$B$10/MAX(1,'İşçilik Parametreleri'!$B$11)+'İşçilik Parametreleri'!$B$12+'İşçilik Parametreleri'!$B$13)*H181+F181*'İşçilik Parametreleri'!$B$14)*'İşçilik Parametreleri'!$B$15*E181</f>
        <v>6.5549999999999997</v>
      </c>
    </row>
    <row r="182" spans="1:9" ht="15" customHeight="1" x14ac:dyDescent="0.25">
      <c r="A182" s="105" t="s">
        <v>468</v>
      </c>
      <c r="B182" s="105" t="s">
        <v>976</v>
      </c>
      <c r="C182" s="105">
        <v>3</v>
      </c>
      <c r="D182" s="105" t="s">
        <v>977</v>
      </c>
      <c r="E182" s="105">
        <v>1</v>
      </c>
      <c r="F182" s="105">
        <v>1</v>
      </c>
      <c r="G182" s="110">
        <v>1.9570000000000001</v>
      </c>
      <c r="H182" s="111">
        <f>VLOOKUP(G182,'İşçilik Parametreleri'!$E$5:$F$12,2,TRUE())</f>
        <v>1</v>
      </c>
      <c r="I182" s="112">
        <f>(('İşçilik Parametreleri'!$B$10/MAX(1,'İşçilik Parametreleri'!$B$11)+'İşçilik Parametreleri'!$B$12+'İşçilik Parametreleri'!$B$13)*H182+F182*'İşçilik Parametreleri'!$B$14)*'İşçilik Parametreleri'!$B$15*E182</f>
        <v>5.4049999999999994</v>
      </c>
    </row>
    <row r="183" spans="1:9" ht="15" customHeight="1" x14ac:dyDescent="0.25">
      <c r="A183" s="105" t="s">
        <v>493</v>
      </c>
      <c r="B183" s="105" t="s">
        <v>978</v>
      </c>
      <c r="C183" s="105">
        <v>2</v>
      </c>
      <c r="D183" s="105" t="s">
        <v>979</v>
      </c>
      <c r="E183" s="105">
        <v>1</v>
      </c>
      <c r="F183" s="105">
        <v>1</v>
      </c>
      <c r="G183" s="110">
        <v>2.9060000000000001</v>
      </c>
      <c r="H183" s="111">
        <f>VLOOKUP(G183,'İşçilik Parametreleri'!$E$5:$F$12,2,TRUE())</f>
        <v>1</v>
      </c>
      <c r="I183" s="112">
        <f>(('İşçilik Parametreleri'!$B$10/MAX(1,'İşçilik Parametreleri'!$B$11)+'İşçilik Parametreleri'!$B$12+'İşçilik Parametreleri'!$B$13)*H183+F183*'İşçilik Parametreleri'!$B$14)*'İşçilik Parametreleri'!$B$15*E183</f>
        <v>5.4049999999999994</v>
      </c>
    </row>
    <row r="184" spans="1:9" ht="15" customHeight="1" x14ac:dyDescent="0.25">
      <c r="A184" s="105" t="s">
        <v>462</v>
      </c>
      <c r="B184" s="105" t="s">
        <v>792</v>
      </c>
      <c r="C184" s="105">
        <v>3</v>
      </c>
      <c r="D184" s="105" t="s">
        <v>793</v>
      </c>
      <c r="E184" s="105">
        <v>3</v>
      </c>
      <c r="F184" s="105">
        <v>2</v>
      </c>
      <c r="G184" s="110">
        <v>1.1579999999999999</v>
      </c>
      <c r="H184" s="111">
        <f>VLOOKUP(G184,'İşçilik Parametreleri'!$E$5:$F$12,2,TRUE())</f>
        <v>1</v>
      </c>
      <c r="I184" s="112">
        <f>(('İşçilik Parametreleri'!$B$10/MAX(1,'İşçilik Parametreleri'!$B$11)+'İşçilik Parametreleri'!$B$12+'İşçilik Parametreleri'!$B$13)*H184+F184*'İşçilik Parametreleri'!$B$14)*'İşçilik Parametreleri'!$B$15*E184</f>
        <v>19.664999999999999</v>
      </c>
    </row>
    <row r="185" spans="1:9" ht="15" customHeight="1" x14ac:dyDescent="0.25">
      <c r="A185" s="105" t="s">
        <v>594</v>
      </c>
      <c r="B185" s="105" t="s">
        <v>792</v>
      </c>
      <c r="C185" s="105">
        <v>3</v>
      </c>
      <c r="D185" s="105" t="s">
        <v>793</v>
      </c>
      <c r="E185" s="105">
        <v>3</v>
      </c>
      <c r="F185" s="105">
        <v>2</v>
      </c>
      <c r="G185" s="110">
        <v>1.1579999999999999</v>
      </c>
      <c r="H185" s="111">
        <f>VLOOKUP(G185,'İşçilik Parametreleri'!$E$5:$F$12,2,TRUE())</f>
        <v>1</v>
      </c>
      <c r="I185" s="112">
        <f>(('İşçilik Parametreleri'!$B$10/MAX(1,'İşçilik Parametreleri'!$B$11)+'İşçilik Parametreleri'!$B$12+'İşçilik Parametreleri'!$B$13)*H185+F185*'İşçilik Parametreleri'!$B$14)*'İşçilik Parametreleri'!$B$15*E185</f>
        <v>19.664999999999999</v>
      </c>
    </row>
    <row r="186" spans="1:9" ht="15" customHeight="1" x14ac:dyDescent="0.25">
      <c r="A186" s="105" t="s">
        <v>480</v>
      </c>
      <c r="B186" s="105" t="s">
        <v>980</v>
      </c>
      <c r="C186" s="105">
        <v>1</v>
      </c>
      <c r="D186" s="105" t="s">
        <v>981</v>
      </c>
      <c r="E186" s="105">
        <v>1</v>
      </c>
      <c r="F186" s="105">
        <v>3</v>
      </c>
      <c r="G186" s="110">
        <v>1.498</v>
      </c>
      <c r="H186" s="111">
        <f>VLOOKUP(G186,'İşçilik Parametreleri'!$E$5:$F$12,2,TRUE())</f>
        <v>1</v>
      </c>
      <c r="I186" s="112">
        <f>(('İşçilik Parametreleri'!$B$10/MAX(1,'İşçilik Parametreleri'!$B$11)+'İşçilik Parametreleri'!$B$12+'İşçilik Parametreleri'!$B$13)*H186+F186*'İşçilik Parametreleri'!$B$14)*'İşçilik Parametreleri'!$B$15*E186</f>
        <v>7.7049999999999992</v>
      </c>
    </row>
    <row r="187" spans="1:9" ht="15" customHeight="1" x14ac:dyDescent="0.25">
      <c r="A187" s="105" t="s">
        <v>505</v>
      </c>
      <c r="B187" s="105" t="s">
        <v>982</v>
      </c>
      <c r="C187" s="105">
        <v>1</v>
      </c>
      <c r="D187" s="105" t="s">
        <v>983</v>
      </c>
      <c r="E187" s="105">
        <v>1</v>
      </c>
      <c r="F187" s="105">
        <v>2</v>
      </c>
      <c r="G187" s="110">
        <v>3.5059999999999998</v>
      </c>
      <c r="H187" s="111">
        <f>VLOOKUP(G187,'İşçilik Parametreleri'!$E$5:$F$12,2,TRUE())</f>
        <v>1</v>
      </c>
      <c r="I187" s="112">
        <f>(('İşçilik Parametreleri'!$B$10/MAX(1,'İşçilik Parametreleri'!$B$11)+'İşçilik Parametreleri'!$B$12+'İşçilik Parametreleri'!$B$13)*H187+F187*'İşçilik Parametreleri'!$B$14)*'İşçilik Parametreleri'!$B$15*E187</f>
        <v>6.5549999999999997</v>
      </c>
    </row>
    <row r="188" spans="1:9" ht="15" customHeight="1" x14ac:dyDescent="0.25">
      <c r="A188" s="105" t="s">
        <v>505</v>
      </c>
      <c r="B188" s="105" t="s">
        <v>984</v>
      </c>
      <c r="C188" s="105">
        <v>2</v>
      </c>
      <c r="D188" s="105" t="s">
        <v>774</v>
      </c>
      <c r="E188" s="105">
        <v>2</v>
      </c>
      <c r="F188" s="105">
        <v>2</v>
      </c>
      <c r="G188" s="110">
        <v>0.16900000000000001</v>
      </c>
      <c r="H188" s="111">
        <f>VLOOKUP(G188,'İşçilik Parametreleri'!$E$5:$F$12,2,TRUE())</f>
        <v>1</v>
      </c>
      <c r="I188" s="112">
        <f>(('İşçilik Parametreleri'!$B$10/MAX(1,'İşçilik Parametreleri'!$B$11)+'İşçilik Parametreleri'!$B$12+'İşçilik Parametreleri'!$B$13)*H188+F188*'İşçilik Parametreleri'!$B$14)*'İşçilik Parametreleri'!$B$15*E188</f>
        <v>13.11</v>
      </c>
    </row>
    <row r="189" spans="1:9" ht="15" customHeight="1" x14ac:dyDescent="0.25">
      <c r="A189" s="105" t="s">
        <v>465</v>
      </c>
      <c r="B189" s="105" t="s">
        <v>985</v>
      </c>
      <c r="C189" s="105">
        <v>1</v>
      </c>
      <c r="D189" s="105" t="s">
        <v>749</v>
      </c>
      <c r="E189" s="105">
        <v>1</v>
      </c>
      <c r="F189" s="105">
        <v>4</v>
      </c>
      <c r="G189" s="110">
        <v>1.665</v>
      </c>
      <c r="H189" s="111">
        <f>VLOOKUP(G189,'İşçilik Parametreleri'!$E$5:$F$12,2,TRUE())</f>
        <v>1</v>
      </c>
      <c r="I189" s="112">
        <f>(('İşçilik Parametreleri'!$B$10/MAX(1,'İşçilik Parametreleri'!$B$11)+'İşçilik Parametreleri'!$B$12+'İşçilik Parametreleri'!$B$13)*H189+F189*'İşçilik Parametreleri'!$B$14)*'İşçilik Parametreleri'!$B$15*E189</f>
        <v>8.8549999999999986</v>
      </c>
    </row>
    <row r="190" spans="1:9" ht="15" customHeight="1" x14ac:dyDescent="0.25">
      <c r="A190" s="105" t="s">
        <v>465</v>
      </c>
      <c r="B190" s="105" t="s">
        <v>986</v>
      </c>
      <c r="C190" s="105">
        <v>3</v>
      </c>
      <c r="D190" s="105" t="s">
        <v>749</v>
      </c>
      <c r="E190" s="105">
        <v>1</v>
      </c>
      <c r="F190" s="105">
        <v>2</v>
      </c>
      <c r="G190" s="110">
        <v>0.50900000000000001</v>
      </c>
      <c r="H190" s="111">
        <f>VLOOKUP(G190,'İşçilik Parametreleri'!$E$5:$F$12,2,TRUE())</f>
        <v>1</v>
      </c>
      <c r="I190" s="112">
        <f>(('İşçilik Parametreleri'!$B$10/MAX(1,'İşçilik Parametreleri'!$B$11)+'İşçilik Parametreleri'!$B$12+'İşçilik Parametreleri'!$B$13)*H190+F190*'İşçilik Parametreleri'!$B$14)*'İşçilik Parametreleri'!$B$15*E190</f>
        <v>6.5549999999999997</v>
      </c>
    </row>
    <row r="191" spans="1:9" ht="15" customHeight="1" x14ac:dyDescent="0.25">
      <c r="A191" s="105" t="s">
        <v>614</v>
      </c>
      <c r="B191" s="105" t="s">
        <v>987</v>
      </c>
      <c r="C191" s="105">
        <v>2</v>
      </c>
      <c r="D191" s="105" t="s">
        <v>749</v>
      </c>
      <c r="E191" s="105">
        <v>1</v>
      </c>
      <c r="F191" s="105">
        <v>2</v>
      </c>
      <c r="G191" s="110">
        <v>1.8779999999999999</v>
      </c>
      <c r="H191" s="111">
        <f>VLOOKUP(G191,'İşçilik Parametreleri'!$E$5:$F$12,2,TRUE())</f>
        <v>1</v>
      </c>
      <c r="I191" s="112">
        <f>(('İşçilik Parametreleri'!$B$10/MAX(1,'İşçilik Parametreleri'!$B$11)+'İşçilik Parametreleri'!$B$12+'İşçilik Parametreleri'!$B$13)*H191+F191*'İşçilik Parametreleri'!$B$14)*'İşçilik Parametreleri'!$B$15*E191</f>
        <v>6.5549999999999997</v>
      </c>
    </row>
    <row r="192" spans="1:9" ht="15" customHeight="1" x14ac:dyDescent="0.25">
      <c r="A192" s="105" t="s">
        <v>451</v>
      </c>
      <c r="B192" s="105" t="s">
        <v>988</v>
      </c>
      <c r="C192" s="105">
        <v>2</v>
      </c>
      <c r="D192" s="105" t="s">
        <v>700</v>
      </c>
      <c r="E192" s="105">
        <v>1</v>
      </c>
      <c r="F192" s="105">
        <v>2</v>
      </c>
      <c r="G192" s="110">
        <v>2.2170000000000001</v>
      </c>
      <c r="H192" s="111">
        <f>VLOOKUP(G192,'İşçilik Parametreleri'!$E$5:$F$12,2,TRUE())</f>
        <v>1</v>
      </c>
      <c r="I192" s="112">
        <f>(('İşçilik Parametreleri'!$B$10/MAX(1,'İşçilik Parametreleri'!$B$11)+'İşçilik Parametreleri'!$B$12+'İşçilik Parametreleri'!$B$13)*H192+F192*'İşçilik Parametreleri'!$B$14)*'İşçilik Parametreleri'!$B$15*E192</f>
        <v>6.5549999999999997</v>
      </c>
    </row>
    <row r="193" spans="1:9" ht="15" customHeight="1" x14ac:dyDescent="0.25">
      <c r="A193" s="105" t="s">
        <v>451</v>
      </c>
      <c r="B193" s="105" t="s">
        <v>989</v>
      </c>
      <c r="C193" s="105">
        <v>3</v>
      </c>
      <c r="D193" s="105" t="s">
        <v>700</v>
      </c>
      <c r="E193" s="105">
        <v>1</v>
      </c>
      <c r="F193" s="105">
        <v>2</v>
      </c>
      <c r="G193" s="110">
        <v>1.9059999999999999</v>
      </c>
      <c r="H193" s="111">
        <f>VLOOKUP(G193,'İşçilik Parametreleri'!$E$5:$F$12,2,TRUE())</f>
        <v>1</v>
      </c>
      <c r="I193" s="112">
        <f>(('İşçilik Parametreleri'!$B$10/MAX(1,'İşçilik Parametreleri'!$B$11)+'İşçilik Parametreleri'!$B$12+'İşçilik Parametreleri'!$B$13)*H193+F193*'İşçilik Parametreleri'!$B$14)*'İşçilik Parametreleri'!$B$15*E193</f>
        <v>6.5549999999999997</v>
      </c>
    </row>
    <row r="194" spans="1:9" ht="15" customHeight="1" x14ac:dyDescent="0.25">
      <c r="A194" s="105" t="s">
        <v>451</v>
      </c>
      <c r="B194" s="105" t="s">
        <v>990</v>
      </c>
      <c r="C194" s="105">
        <v>4</v>
      </c>
      <c r="D194" s="105" t="s">
        <v>700</v>
      </c>
      <c r="E194" s="105">
        <v>1</v>
      </c>
      <c r="F194" s="105">
        <v>2</v>
      </c>
      <c r="G194" s="110">
        <v>3.044</v>
      </c>
      <c r="H194" s="111">
        <f>VLOOKUP(G194,'İşçilik Parametreleri'!$E$5:$F$12,2,TRUE())</f>
        <v>1</v>
      </c>
      <c r="I194" s="112">
        <f>(('İşçilik Parametreleri'!$B$10/MAX(1,'İşçilik Parametreleri'!$B$11)+'İşçilik Parametreleri'!$B$12+'İşçilik Parametreleri'!$B$13)*H194+F194*'İşçilik Parametreleri'!$B$14)*'İşçilik Parametreleri'!$B$15*E194</f>
        <v>6.5549999999999997</v>
      </c>
    </row>
    <row r="195" spans="1:9" ht="15" customHeight="1" x14ac:dyDescent="0.25">
      <c r="A195" s="105" t="s">
        <v>451</v>
      </c>
      <c r="B195" s="105" t="s">
        <v>991</v>
      </c>
      <c r="C195" s="105">
        <v>5</v>
      </c>
      <c r="D195" s="105" t="s">
        <v>700</v>
      </c>
      <c r="E195" s="105">
        <v>1</v>
      </c>
      <c r="F195" s="105">
        <v>2</v>
      </c>
      <c r="G195" s="110">
        <v>3.05</v>
      </c>
      <c r="H195" s="111">
        <f>VLOOKUP(G195,'İşçilik Parametreleri'!$E$5:$F$12,2,TRUE())</f>
        <v>1</v>
      </c>
      <c r="I195" s="112">
        <f>(('İşçilik Parametreleri'!$B$10/MAX(1,'İşçilik Parametreleri'!$B$11)+'İşçilik Parametreleri'!$B$12+'İşçilik Parametreleri'!$B$13)*H195+F195*'İşçilik Parametreleri'!$B$14)*'İşçilik Parametreleri'!$B$15*E195</f>
        <v>6.5549999999999997</v>
      </c>
    </row>
    <row r="196" spans="1:9" ht="15" customHeight="1" x14ac:dyDescent="0.25">
      <c r="A196" s="105" t="s">
        <v>471</v>
      </c>
      <c r="B196" s="105" t="s">
        <v>992</v>
      </c>
      <c r="C196" s="105">
        <v>1</v>
      </c>
      <c r="D196" s="105" t="s">
        <v>993</v>
      </c>
      <c r="E196" s="105">
        <v>1</v>
      </c>
      <c r="F196" s="105">
        <v>2</v>
      </c>
      <c r="G196" s="110">
        <v>1.9610000000000001</v>
      </c>
      <c r="H196" s="111">
        <f>VLOOKUP(G196,'İşçilik Parametreleri'!$E$5:$F$12,2,TRUE())</f>
        <v>1</v>
      </c>
      <c r="I196" s="112">
        <f>(('İşçilik Parametreleri'!$B$10/MAX(1,'İşçilik Parametreleri'!$B$11)+'İşçilik Parametreleri'!$B$12+'İşçilik Parametreleri'!$B$13)*H196+F196*'İşçilik Parametreleri'!$B$14)*'İşçilik Parametreleri'!$B$15*E196</f>
        <v>6.5549999999999997</v>
      </c>
    </row>
    <row r="197" spans="1:9" ht="15" customHeight="1" x14ac:dyDescent="0.25">
      <c r="A197" s="105" t="s">
        <v>471</v>
      </c>
      <c r="B197" s="105" t="s">
        <v>994</v>
      </c>
      <c r="C197" s="105">
        <v>2</v>
      </c>
      <c r="D197" s="105" t="s">
        <v>995</v>
      </c>
      <c r="E197" s="105">
        <v>1</v>
      </c>
      <c r="F197" s="105">
        <v>2</v>
      </c>
      <c r="G197" s="110">
        <v>1.9650000000000001</v>
      </c>
      <c r="H197" s="111">
        <f>VLOOKUP(G197,'İşçilik Parametreleri'!$E$5:$F$12,2,TRUE())</f>
        <v>1</v>
      </c>
      <c r="I197" s="112">
        <f>(('İşçilik Parametreleri'!$B$10/MAX(1,'İşçilik Parametreleri'!$B$11)+'İşçilik Parametreleri'!$B$12+'İşçilik Parametreleri'!$B$13)*H197+F197*'İşçilik Parametreleri'!$B$14)*'İşçilik Parametreleri'!$B$15*E197</f>
        <v>6.5549999999999997</v>
      </c>
    </row>
    <row r="198" spans="1:9" ht="15" customHeight="1" x14ac:dyDescent="0.25">
      <c r="A198" s="105" t="s">
        <v>452</v>
      </c>
      <c r="B198" s="105" t="s">
        <v>996</v>
      </c>
      <c r="C198" s="105">
        <v>2</v>
      </c>
      <c r="D198" s="105" t="s">
        <v>700</v>
      </c>
      <c r="E198" s="105">
        <v>1</v>
      </c>
      <c r="F198" s="105">
        <v>2</v>
      </c>
      <c r="G198" s="110">
        <v>2.2170000000000001</v>
      </c>
      <c r="H198" s="111">
        <f>VLOOKUP(G198,'İşçilik Parametreleri'!$E$5:$F$12,2,TRUE())</f>
        <v>1</v>
      </c>
      <c r="I198" s="112">
        <f>(('İşçilik Parametreleri'!$B$10/MAX(1,'İşçilik Parametreleri'!$B$11)+'İşçilik Parametreleri'!$B$12+'İşçilik Parametreleri'!$B$13)*H198+F198*'İşçilik Parametreleri'!$B$14)*'İşçilik Parametreleri'!$B$15*E198</f>
        <v>6.5549999999999997</v>
      </c>
    </row>
    <row r="199" spans="1:9" ht="15" customHeight="1" x14ac:dyDescent="0.25">
      <c r="A199" s="105" t="s">
        <v>452</v>
      </c>
      <c r="B199" s="105" t="s">
        <v>997</v>
      </c>
      <c r="C199" s="105">
        <v>3</v>
      </c>
      <c r="D199" s="105" t="s">
        <v>700</v>
      </c>
      <c r="E199" s="105">
        <v>1</v>
      </c>
      <c r="F199" s="105">
        <v>2</v>
      </c>
      <c r="G199" s="110">
        <v>1.9059999999999999</v>
      </c>
      <c r="H199" s="111">
        <f>VLOOKUP(G199,'İşçilik Parametreleri'!$E$5:$F$12,2,TRUE())</f>
        <v>1</v>
      </c>
      <c r="I199" s="112">
        <f>(('İşçilik Parametreleri'!$B$10/MAX(1,'İşçilik Parametreleri'!$B$11)+'İşçilik Parametreleri'!$B$12+'İşçilik Parametreleri'!$B$13)*H199+F199*'İşçilik Parametreleri'!$B$14)*'İşçilik Parametreleri'!$B$15*E199</f>
        <v>6.5549999999999997</v>
      </c>
    </row>
    <row r="200" spans="1:9" ht="15" customHeight="1" x14ac:dyDescent="0.25">
      <c r="A200" s="105" t="s">
        <v>452</v>
      </c>
      <c r="B200" s="105" t="s">
        <v>998</v>
      </c>
      <c r="C200" s="105">
        <v>4</v>
      </c>
      <c r="D200" s="105" t="s">
        <v>700</v>
      </c>
      <c r="E200" s="105">
        <v>1</v>
      </c>
      <c r="F200" s="105">
        <v>2</v>
      </c>
      <c r="G200" s="110">
        <v>3.05</v>
      </c>
      <c r="H200" s="111">
        <f>VLOOKUP(G200,'İşçilik Parametreleri'!$E$5:$F$12,2,TRUE())</f>
        <v>1</v>
      </c>
      <c r="I200" s="112">
        <f>(('İşçilik Parametreleri'!$B$10/MAX(1,'İşçilik Parametreleri'!$B$11)+'İşçilik Parametreleri'!$B$12+'İşçilik Parametreleri'!$B$13)*H200+F200*'İşçilik Parametreleri'!$B$14)*'İşçilik Parametreleri'!$B$15*E200</f>
        <v>6.5549999999999997</v>
      </c>
    </row>
    <row r="201" spans="1:9" ht="15" customHeight="1" x14ac:dyDescent="0.25">
      <c r="A201" s="105" t="s">
        <v>452</v>
      </c>
      <c r="B201" s="105" t="s">
        <v>999</v>
      </c>
      <c r="C201" s="105">
        <v>5</v>
      </c>
      <c r="D201" s="105" t="s">
        <v>700</v>
      </c>
      <c r="E201" s="105">
        <v>1</v>
      </c>
      <c r="F201" s="105">
        <v>2</v>
      </c>
      <c r="G201" s="110">
        <v>3.044</v>
      </c>
      <c r="H201" s="111">
        <f>VLOOKUP(G201,'İşçilik Parametreleri'!$E$5:$F$12,2,TRUE())</f>
        <v>1</v>
      </c>
      <c r="I201" s="112">
        <f>(('İşçilik Parametreleri'!$B$10/MAX(1,'İşçilik Parametreleri'!$B$11)+'İşçilik Parametreleri'!$B$12+'İşçilik Parametreleri'!$B$13)*H201+F201*'İşçilik Parametreleri'!$B$14)*'İşçilik Parametreleri'!$B$15*E201</f>
        <v>6.5549999999999997</v>
      </c>
    </row>
    <row r="202" spans="1:9" ht="15" customHeight="1" x14ac:dyDescent="0.25">
      <c r="A202" s="105" t="s">
        <v>519</v>
      </c>
      <c r="B202" s="105" t="s">
        <v>1000</v>
      </c>
      <c r="C202" s="105">
        <v>1</v>
      </c>
      <c r="D202" s="105" t="s">
        <v>774</v>
      </c>
      <c r="E202" s="105">
        <v>1</v>
      </c>
      <c r="F202" s="105">
        <v>2</v>
      </c>
      <c r="G202" s="110">
        <v>1.2609999999999999</v>
      </c>
      <c r="H202" s="111">
        <f>VLOOKUP(G202,'İşçilik Parametreleri'!$E$5:$F$12,2,TRUE())</f>
        <v>1</v>
      </c>
      <c r="I202" s="112">
        <f>(('İşçilik Parametreleri'!$B$10/MAX(1,'İşçilik Parametreleri'!$B$11)+'İşçilik Parametreleri'!$B$12+'İşçilik Parametreleri'!$B$13)*H202+F202*'İşçilik Parametreleri'!$B$14)*'İşçilik Parametreleri'!$B$15*E202</f>
        <v>6.5549999999999997</v>
      </c>
    </row>
    <row r="203" spans="1:9" ht="15" customHeight="1" x14ac:dyDescent="0.25">
      <c r="A203" s="105" t="s">
        <v>552</v>
      </c>
      <c r="B203" s="105" t="s">
        <v>1001</v>
      </c>
      <c r="C203" s="105">
        <v>1</v>
      </c>
      <c r="D203" s="105" t="s">
        <v>749</v>
      </c>
      <c r="E203" s="105">
        <v>1</v>
      </c>
      <c r="F203" s="105">
        <v>3</v>
      </c>
      <c r="G203" s="110">
        <v>1.962</v>
      </c>
      <c r="H203" s="111">
        <f>VLOOKUP(G203,'İşçilik Parametreleri'!$E$5:$F$12,2,TRUE())</f>
        <v>1</v>
      </c>
      <c r="I203" s="112">
        <f>(('İşçilik Parametreleri'!$B$10/MAX(1,'İşçilik Parametreleri'!$B$11)+'İşçilik Parametreleri'!$B$12+'İşçilik Parametreleri'!$B$13)*H203+F203*'İşçilik Parametreleri'!$B$14)*'İşçilik Parametreleri'!$B$15*E203</f>
        <v>7.7049999999999992</v>
      </c>
    </row>
    <row r="204" spans="1:9" ht="15" customHeight="1" x14ac:dyDescent="0.25">
      <c r="A204" s="105" t="s">
        <v>552</v>
      </c>
      <c r="B204" s="105" t="s">
        <v>1002</v>
      </c>
      <c r="C204" s="105">
        <v>2</v>
      </c>
      <c r="D204" s="105" t="s">
        <v>749</v>
      </c>
      <c r="E204" s="105">
        <v>2</v>
      </c>
      <c r="F204" s="105">
        <v>1</v>
      </c>
      <c r="G204" s="110">
        <v>8.5000000000000006E-2</v>
      </c>
      <c r="H204" s="111">
        <f>VLOOKUP(G204,'İşçilik Parametreleri'!$E$5:$F$12,2,TRUE())</f>
        <v>1</v>
      </c>
      <c r="I204" s="112">
        <f>(('İşçilik Parametreleri'!$B$10/MAX(1,'İşçilik Parametreleri'!$B$11)+'İşçilik Parametreleri'!$B$12+'İşçilik Parametreleri'!$B$13)*H204+F204*'İşçilik Parametreleri'!$B$14)*'İşçilik Parametreleri'!$B$15*E204</f>
        <v>10.809999999999999</v>
      </c>
    </row>
    <row r="205" spans="1:9" ht="15" customHeight="1" x14ac:dyDescent="0.25">
      <c r="A205" s="105" t="s">
        <v>553</v>
      </c>
      <c r="B205" s="105" t="s">
        <v>1003</v>
      </c>
      <c r="C205" s="105">
        <v>1</v>
      </c>
      <c r="D205" s="105" t="s">
        <v>749</v>
      </c>
      <c r="E205" s="105">
        <v>1</v>
      </c>
      <c r="F205" s="105">
        <v>3</v>
      </c>
      <c r="G205" s="110">
        <v>1.962</v>
      </c>
      <c r="H205" s="111">
        <f>VLOOKUP(G205,'İşçilik Parametreleri'!$E$5:$F$12,2,TRUE())</f>
        <v>1</v>
      </c>
      <c r="I205" s="112">
        <f>(('İşçilik Parametreleri'!$B$10/MAX(1,'İşçilik Parametreleri'!$B$11)+'İşçilik Parametreleri'!$B$12+'İşçilik Parametreleri'!$B$13)*H205+F205*'İşçilik Parametreleri'!$B$14)*'İşçilik Parametreleri'!$B$15*E205</f>
        <v>7.7049999999999992</v>
      </c>
    </row>
    <row r="206" spans="1:9" ht="15" customHeight="1" x14ac:dyDescent="0.25">
      <c r="A206" s="105" t="s">
        <v>553</v>
      </c>
      <c r="B206" s="105" t="s">
        <v>1002</v>
      </c>
      <c r="C206" s="105">
        <v>2</v>
      </c>
      <c r="D206" s="105" t="s">
        <v>749</v>
      </c>
      <c r="E206" s="105">
        <v>2</v>
      </c>
      <c r="F206" s="105">
        <v>1</v>
      </c>
      <c r="G206" s="110">
        <v>8.5000000000000006E-2</v>
      </c>
      <c r="H206" s="111">
        <f>VLOOKUP(G206,'İşçilik Parametreleri'!$E$5:$F$12,2,TRUE())</f>
        <v>1</v>
      </c>
      <c r="I206" s="112">
        <f>(('İşçilik Parametreleri'!$B$10/MAX(1,'İşçilik Parametreleri'!$B$11)+'İşçilik Parametreleri'!$B$12+'İşçilik Parametreleri'!$B$13)*H206+F206*'İşçilik Parametreleri'!$B$14)*'İşçilik Parametreleri'!$B$15*E206</f>
        <v>10.809999999999999</v>
      </c>
    </row>
    <row r="207" spans="1:9" ht="15" customHeight="1" x14ac:dyDescent="0.25">
      <c r="A207" s="105" t="s">
        <v>454</v>
      </c>
      <c r="B207" s="105" t="s">
        <v>1004</v>
      </c>
      <c r="C207" s="105">
        <v>1</v>
      </c>
      <c r="D207" s="105" t="s">
        <v>1005</v>
      </c>
      <c r="E207" s="105">
        <v>2</v>
      </c>
      <c r="F207" s="105">
        <v>2</v>
      </c>
      <c r="G207" s="110">
        <v>12.752000000000001</v>
      </c>
      <c r="H207" s="111">
        <f>VLOOKUP(G207,'İşçilik Parametreleri'!$E$5:$F$12,2,TRUE())</f>
        <v>2.25</v>
      </c>
      <c r="I207" s="112">
        <f>(('İşçilik Parametreleri'!$B$10/MAX(1,'İşçilik Parametreleri'!$B$11)+'İşçilik Parametreleri'!$B$12+'İşçilik Parametreleri'!$B$13)*H207+F207*'İşçilik Parametreleri'!$B$14)*'İşçilik Parametreleri'!$B$15*E207</f>
        <v>23.747500000000002</v>
      </c>
    </row>
    <row r="208" spans="1:9" ht="15" customHeight="1" x14ac:dyDescent="0.25">
      <c r="A208" s="105" t="s">
        <v>511</v>
      </c>
      <c r="B208" s="105" t="s">
        <v>1006</v>
      </c>
      <c r="C208" s="105">
        <v>1</v>
      </c>
      <c r="D208" s="105" t="s">
        <v>1007</v>
      </c>
      <c r="E208" s="105">
        <v>1</v>
      </c>
      <c r="F208" s="105">
        <v>2</v>
      </c>
      <c r="G208" s="110">
        <v>5.1669999999999998</v>
      </c>
      <c r="H208" s="111">
        <f>VLOOKUP(G208,'İşçilik Parametreleri'!$E$5:$F$12,2,TRUE())</f>
        <v>2.25</v>
      </c>
      <c r="I208" s="112">
        <f>(('İşçilik Parametreleri'!$B$10/MAX(1,'İşçilik Parametreleri'!$B$11)+'İşçilik Parametreleri'!$B$12+'İşçilik Parametreleri'!$B$13)*H208+F208*'İşçilik Parametreleri'!$B$14)*'İşçilik Parametreleri'!$B$15*E208</f>
        <v>11.873750000000001</v>
      </c>
    </row>
    <row r="209" spans="1:9" ht="15" customHeight="1" x14ac:dyDescent="0.25">
      <c r="A209" s="105" t="s">
        <v>511</v>
      </c>
      <c r="B209" s="105" t="s">
        <v>1008</v>
      </c>
      <c r="C209" s="105">
        <v>2</v>
      </c>
      <c r="D209" s="105" t="s">
        <v>1009</v>
      </c>
      <c r="E209" s="105">
        <v>1</v>
      </c>
      <c r="F209" s="105">
        <v>1</v>
      </c>
      <c r="G209" s="110">
        <v>3.891</v>
      </c>
      <c r="H209" s="111">
        <f>VLOOKUP(G209,'İşçilik Parametreleri'!$E$5:$F$12,2,TRUE())</f>
        <v>1</v>
      </c>
      <c r="I209" s="112">
        <f>(('İşçilik Parametreleri'!$B$10/MAX(1,'İşçilik Parametreleri'!$B$11)+'İşçilik Parametreleri'!$B$12+'İşçilik Parametreleri'!$B$13)*H209+F209*'İşçilik Parametreleri'!$B$14)*'İşçilik Parametreleri'!$B$15*E209</f>
        <v>5.4049999999999994</v>
      </c>
    </row>
    <row r="210" spans="1:9" ht="15" customHeight="1" x14ac:dyDescent="0.25">
      <c r="A210" s="105" t="s">
        <v>482</v>
      </c>
      <c r="B210" s="105" t="s">
        <v>1010</v>
      </c>
      <c r="C210" s="105">
        <v>2</v>
      </c>
      <c r="D210" s="105" t="s">
        <v>749</v>
      </c>
      <c r="E210" s="105">
        <v>0</v>
      </c>
      <c r="F210" s="105">
        <v>0</v>
      </c>
      <c r="G210" s="110">
        <v>0.82699999999999996</v>
      </c>
      <c r="H210" s="111">
        <f>VLOOKUP(G210,'İşçilik Parametreleri'!$E$5:$F$12,2,TRUE())</f>
        <v>1</v>
      </c>
      <c r="I210" s="112">
        <f>(('İşçilik Parametreleri'!$B$10/MAX(1,'İşçilik Parametreleri'!$B$11)+'İşçilik Parametreleri'!$B$12+'İşçilik Parametreleri'!$B$13)*H210+F210*'İşçilik Parametreleri'!$B$14)*'İşçilik Parametreleri'!$B$15*E210</f>
        <v>0</v>
      </c>
    </row>
    <row r="211" spans="1:9" ht="15" customHeight="1" x14ac:dyDescent="0.25">
      <c r="A211" s="105" t="s">
        <v>624</v>
      </c>
      <c r="B211" s="105" t="s">
        <v>825</v>
      </c>
      <c r="C211" s="105">
        <v>1</v>
      </c>
      <c r="D211" s="105" t="s">
        <v>774</v>
      </c>
      <c r="E211" s="105">
        <v>1</v>
      </c>
      <c r="F211" s="105">
        <v>2</v>
      </c>
      <c r="G211" s="110">
        <v>1.3009999999999999</v>
      </c>
      <c r="H211" s="111">
        <f>VLOOKUP(G211,'İşçilik Parametreleri'!$E$5:$F$12,2,TRUE())</f>
        <v>1</v>
      </c>
      <c r="I211" s="112">
        <f>(('İşçilik Parametreleri'!$B$10/MAX(1,'İşçilik Parametreleri'!$B$11)+'İşçilik Parametreleri'!$B$12+'İşçilik Parametreleri'!$B$13)*H211+F211*'İşçilik Parametreleri'!$B$14)*'İşçilik Parametreleri'!$B$15*E211</f>
        <v>6.5549999999999997</v>
      </c>
    </row>
    <row r="212" spans="1:9" ht="15" customHeight="1" x14ac:dyDescent="0.25">
      <c r="A212" s="105" t="s">
        <v>593</v>
      </c>
      <c r="B212" s="105" t="s">
        <v>1011</v>
      </c>
      <c r="C212" s="105">
        <v>1</v>
      </c>
      <c r="D212" s="105" t="s">
        <v>1012</v>
      </c>
      <c r="E212" s="105">
        <v>1</v>
      </c>
      <c r="F212" s="105">
        <v>4</v>
      </c>
      <c r="G212" s="110">
        <v>18.119</v>
      </c>
      <c r="H212" s="111">
        <f>VLOOKUP(G212,'İşçilik Parametreleri'!$E$5:$F$12,2,TRUE())</f>
        <v>2.25</v>
      </c>
      <c r="I212" s="112">
        <f>(('İşçilik Parametreleri'!$B$10/MAX(1,'İşçilik Parametreleri'!$B$11)+'İşçilik Parametreleri'!$B$12+'İşçilik Parametreleri'!$B$13)*H212+F212*'İşçilik Parametreleri'!$B$14)*'İşçilik Parametreleri'!$B$15*E212</f>
        <v>14.17375</v>
      </c>
    </row>
    <row r="213" spans="1:9" ht="15" customHeight="1" x14ac:dyDescent="0.25">
      <c r="A213" s="105" t="s">
        <v>602</v>
      </c>
      <c r="B213" s="105" t="s">
        <v>1013</v>
      </c>
      <c r="C213" s="105">
        <v>4</v>
      </c>
      <c r="D213" s="105" t="s">
        <v>774</v>
      </c>
      <c r="E213" s="105">
        <v>1</v>
      </c>
      <c r="F213" s="105">
        <v>2</v>
      </c>
      <c r="G213" s="110">
        <v>1.026</v>
      </c>
      <c r="H213" s="111">
        <f>VLOOKUP(G213,'İşçilik Parametreleri'!$E$5:$F$12,2,TRUE())</f>
        <v>1</v>
      </c>
      <c r="I213" s="112">
        <f>(('İşçilik Parametreleri'!$B$10/MAX(1,'İşçilik Parametreleri'!$B$11)+'İşçilik Parametreleri'!$B$12+'İşçilik Parametreleri'!$B$13)*H213+F213*'İşçilik Parametreleri'!$B$14)*'İşçilik Parametreleri'!$B$15*E213</f>
        <v>6.5549999999999997</v>
      </c>
    </row>
  </sheetData>
  <autoFilter ref="A1:I213" xr:uid="{00000000-0009-0000-0000-000005000000}"/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67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0" customWidth="1"/>
    <col min="2" max="2" width="30" customWidth="1"/>
    <col min="3" max="3" width="11" customWidth="1"/>
    <col min="4" max="4" width="12" customWidth="1"/>
    <col min="5" max="5" width="110" customWidth="1"/>
  </cols>
  <sheetData>
    <row r="1" spans="1:5" ht="15" customHeight="1" x14ac:dyDescent="0.25">
      <c r="A1" s="66" t="s">
        <v>49</v>
      </c>
      <c r="B1" s="66" t="s">
        <v>50</v>
      </c>
      <c r="C1" s="66" t="s">
        <v>1014</v>
      </c>
      <c r="D1" s="66" t="s">
        <v>1015</v>
      </c>
      <c r="E1" s="66" t="s">
        <v>1016</v>
      </c>
    </row>
    <row r="2" spans="1:5" ht="15" customHeight="1" x14ac:dyDescent="0.25">
      <c r="A2" s="113" t="s">
        <v>126</v>
      </c>
      <c r="B2" s="113" t="s">
        <v>127</v>
      </c>
      <c r="C2" s="113" t="s">
        <v>1017</v>
      </c>
      <c r="D2" s="113" t="s">
        <v>1018</v>
      </c>
      <c r="E2" s="113" t="s">
        <v>1019</v>
      </c>
    </row>
    <row r="3" spans="1:5" ht="15" customHeight="1" x14ac:dyDescent="0.25">
      <c r="A3" s="113" t="s">
        <v>126</v>
      </c>
      <c r="B3" s="113" t="s">
        <v>127</v>
      </c>
      <c r="C3" s="113" t="s">
        <v>1017</v>
      </c>
      <c r="D3" s="113" t="s">
        <v>78</v>
      </c>
      <c r="E3" s="113" t="s">
        <v>1020</v>
      </c>
    </row>
    <row r="4" spans="1:5" ht="15" customHeight="1" x14ac:dyDescent="0.25">
      <c r="A4" s="113" t="s">
        <v>126</v>
      </c>
      <c r="B4" s="113" t="s">
        <v>127</v>
      </c>
      <c r="C4" s="113" t="s">
        <v>1021</v>
      </c>
      <c r="D4" s="113" t="s">
        <v>1021</v>
      </c>
      <c r="E4" s="113" t="s">
        <v>1022</v>
      </c>
    </row>
    <row r="5" spans="1:5" ht="15" customHeight="1" x14ac:dyDescent="0.25">
      <c r="A5" s="113" t="s">
        <v>126</v>
      </c>
      <c r="B5" s="113" t="s">
        <v>127</v>
      </c>
      <c r="C5" s="113" t="s">
        <v>1017</v>
      </c>
      <c r="D5" s="113" t="s">
        <v>78</v>
      </c>
      <c r="E5" s="113" t="s">
        <v>1023</v>
      </c>
    </row>
    <row r="6" spans="1:5" ht="15" customHeight="1" x14ac:dyDescent="0.25">
      <c r="A6" s="113" t="s">
        <v>126</v>
      </c>
      <c r="B6" s="113" t="s">
        <v>127</v>
      </c>
      <c r="C6" s="113" t="s">
        <v>1017</v>
      </c>
      <c r="D6" s="113" t="s">
        <v>1024</v>
      </c>
      <c r="E6" s="113" t="s">
        <v>1025</v>
      </c>
    </row>
    <row r="7" spans="1:5" ht="15" customHeight="1" x14ac:dyDescent="0.25">
      <c r="A7" s="113" t="s">
        <v>126</v>
      </c>
      <c r="B7" s="113" t="s">
        <v>127</v>
      </c>
      <c r="C7" s="114" t="s">
        <v>1026</v>
      </c>
      <c r="D7" s="113" t="s">
        <v>1027</v>
      </c>
      <c r="E7" s="113" t="s">
        <v>1028</v>
      </c>
    </row>
    <row r="8" spans="1:5" ht="25.5" customHeight="1" x14ac:dyDescent="0.25">
      <c r="A8" s="113" t="s">
        <v>126</v>
      </c>
      <c r="B8" s="113" t="s">
        <v>127</v>
      </c>
      <c r="C8" s="113" t="s">
        <v>1017</v>
      </c>
      <c r="D8" s="113" t="s">
        <v>78</v>
      </c>
      <c r="E8" s="113" t="s">
        <v>1029</v>
      </c>
    </row>
    <row r="9" spans="1:5" ht="15" customHeight="1" x14ac:dyDescent="0.25">
      <c r="A9" s="113" t="s">
        <v>179</v>
      </c>
      <c r="B9" s="113" t="s">
        <v>180</v>
      </c>
      <c r="C9" s="113" t="s">
        <v>1017</v>
      </c>
      <c r="D9" s="113" t="s">
        <v>1018</v>
      </c>
      <c r="E9" s="113" t="s">
        <v>1019</v>
      </c>
    </row>
    <row r="10" spans="1:5" ht="15" customHeight="1" x14ac:dyDescent="0.25">
      <c r="A10" s="113" t="s">
        <v>179</v>
      </c>
      <c r="B10" s="113" t="s">
        <v>180</v>
      </c>
      <c r="C10" s="113" t="s">
        <v>1017</v>
      </c>
      <c r="D10" s="113" t="s">
        <v>78</v>
      </c>
      <c r="E10" s="113" t="s">
        <v>1030</v>
      </c>
    </row>
    <row r="11" spans="1:5" ht="15" customHeight="1" x14ac:dyDescent="0.25">
      <c r="A11" s="113" t="s">
        <v>179</v>
      </c>
      <c r="B11" s="113" t="s">
        <v>180</v>
      </c>
      <c r="C11" s="114" t="s">
        <v>1026</v>
      </c>
      <c r="D11" s="113" t="s">
        <v>1027</v>
      </c>
      <c r="E11" s="113" t="s">
        <v>1031</v>
      </c>
    </row>
    <row r="12" spans="1:5" ht="25.5" customHeight="1" x14ac:dyDescent="0.25">
      <c r="A12" s="113" t="s">
        <v>179</v>
      </c>
      <c r="B12" s="113" t="s">
        <v>180</v>
      </c>
      <c r="C12" s="113" t="s">
        <v>1017</v>
      </c>
      <c r="D12" s="113" t="s">
        <v>78</v>
      </c>
      <c r="E12" s="113" t="s">
        <v>1032</v>
      </c>
    </row>
    <row r="13" spans="1:5" ht="15" customHeight="1" x14ac:dyDescent="0.25">
      <c r="A13" s="113" t="s">
        <v>179</v>
      </c>
      <c r="B13" s="113" t="s">
        <v>180</v>
      </c>
      <c r="C13" s="113" t="s">
        <v>1017</v>
      </c>
      <c r="D13" s="113" t="s">
        <v>1024</v>
      </c>
      <c r="E13" s="113" t="s">
        <v>1025</v>
      </c>
    </row>
    <row r="14" spans="1:5" ht="15" customHeight="1" x14ac:dyDescent="0.25">
      <c r="A14" s="113" t="s">
        <v>179</v>
      </c>
      <c r="B14" s="113" t="s">
        <v>180</v>
      </c>
      <c r="C14" s="114" t="s">
        <v>1026</v>
      </c>
      <c r="D14" s="113" t="s">
        <v>1027</v>
      </c>
      <c r="E14" s="113" t="s">
        <v>1033</v>
      </c>
    </row>
    <row r="15" spans="1:5" ht="25.5" customHeight="1" x14ac:dyDescent="0.25">
      <c r="A15" s="113" t="s">
        <v>179</v>
      </c>
      <c r="B15" s="113" t="s">
        <v>180</v>
      </c>
      <c r="C15" s="113" t="s">
        <v>1017</v>
      </c>
      <c r="D15" s="113" t="s">
        <v>78</v>
      </c>
      <c r="E15" s="113" t="s">
        <v>1034</v>
      </c>
    </row>
    <row r="16" spans="1:5" ht="25.5" customHeight="1" x14ac:dyDescent="0.25">
      <c r="A16" s="113" t="s">
        <v>97</v>
      </c>
      <c r="B16" s="113" t="s">
        <v>98</v>
      </c>
      <c r="C16" s="113" t="s">
        <v>1021</v>
      </c>
      <c r="D16" s="113" t="s">
        <v>1021</v>
      </c>
      <c r="E16" s="113" t="s">
        <v>1035</v>
      </c>
    </row>
    <row r="17" spans="1:5" ht="15" customHeight="1" x14ac:dyDescent="0.25">
      <c r="A17" s="113" t="s">
        <v>97</v>
      </c>
      <c r="B17" s="113" t="s">
        <v>98</v>
      </c>
      <c r="C17" s="113" t="s">
        <v>1021</v>
      </c>
      <c r="D17" s="113" t="s">
        <v>1021</v>
      </c>
      <c r="E17" s="113" t="s">
        <v>1036</v>
      </c>
    </row>
    <row r="18" spans="1:5" ht="25.5" customHeight="1" x14ac:dyDescent="0.25">
      <c r="A18" s="113" t="s">
        <v>97</v>
      </c>
      <c r="B18" s="113" t="s">
        <v>98</v>
      </c>
      <c r="C18" s="113" t="s">
        <v>1017</v>
      </c>
      <c r="D18" s="113" t="s">
        <v>1018</v>
      </c>
      <c r="E18" s="113" t="s">
        <v>1037</v>
      </c>
    </row>
    <row r="19" spans="1:5" ht="15" customHeight="1" x14ac:dyDescent="0.25">
      <c r="A19" s="113" t="s">
        <v>97</v>
      </c>
      <c r="B19" s="113" t="s">
        <v>98</v>
      </c>
      <c r="C19" s="113" t="s">
        <v>1017</v>
      </c>
      <c r="D19" s="113" t="s">
        <v>1018</v>
      </c>
      <c r="E19" s="113" t="s">
        <v>1038</v>
      </c>
    </row>
    <row r="20" spans="1:5" ht="25.5" customHeight="1" x14ac:dyDescent="0.25">
      <c r="A20" s="113" t="s">
        <v>97</v>
      </c>
      <c r="B20" s="113" t="s">
        <v>98</v>
      </c>
      <c r="C20" s="114" t="s">
        <v>1026</v>
      </c>
      <c r="D20" s="113" t="s">
        <v>1027</v>
      </c>
      <c r="E20" s="113" t="s">
        <v>1039</v>
      </c>
    </row>
    <row r="21" spans="1:5" ht="15" customHeight="1" x14ac:dyDescent="0.25">
      <c r="A21" s="113" t="s">
        <v>97</v>
      </c>
      <c r="B21" s="113" t="s">
        <v>98</v>
      </c>
      <c r="C21" s="113" t="s">
        <v>1021</v>
      </c>
      <c r="D21" s="113" t="s">
        <v>1021</v>
      </c>
      <c r="E21" s="113" t="s">
        <v>1040</v>
      </c>
    </row>
    <row r="22" spans="1:5" ht="15" customHeight="1" x14ac:dyDescent="0.25">
      <c r="A22" s="113" t="s">
        <v>97</v>
      </c>
      <c r="B22" s="113" t="s">
        <v>98</v>
      </c>
      <c r="C22" s="113" t="s">
        <v>1017</v>
      </c>
      <c r="D22" s="113" t="s">
        <v>1024</v>
      </c>
      <c r="E22" s="113" t="s">
        <v>1025</v>
      </c>
    </row>
    <row r="23" spans="1:5" ht="15" customHeight="1" x14ac:dyDescent="0.25">
      <c r="A23" s="113" t="s">
        <v>97</v>
      </c>
      <c r="B23" s="113" t="s">
        <v>98</v>
      </c>
      <c r="C23" s="114" t="s">
        <v>1026</v>
      </c>
      <c r="D23" s="113" t="s">
        <v>1027</v>
      </c>
      <c r="E23" s="113" t="s">
        <v>1041</v>
      </c>
    </row>
    <row r="24" spans="1:5" ht="25.5" customHeight="1" x14ac:dyDescent="0.25">
      <c r="A24" s="113" t="s">
        <v>97</v>
      </c>
      <c r="B24" s="113" t="s">
        <v>98</v>
      </c>
      <c r="C24" s="113" t="s">
        <v>1017</v>
      </c>
      <c r="D24" s="113" t="s">
        <v>78</v>
      </c>
      <c r="E24" s="113" t="s">
        <v>1042</v>
      </c>
    </row>
    <row r="25" spans="1:5" ht="15" customHeight="1" x14ac:dyDescent="0.25">
      <c r="A25" s="113" t="s">
        <v>539</v>
      </c>
      <c r="B25" s="113" t="s">
        <v>236</v>
      </c>
      <c r="C25" s="113" t="s">
        <v>1017</v>
      </c>
      <c r="D25" s="113" t="s">
        <v>1043</v>
      </c>
      <c r="E25" s="113" t="s">
        <v>1044</v>
      </c>
    </row>
    <row r="26" spans="1:5" ht="15" customHeight="1" x14ac:dyDescent="0.25">
      <c r="A26" s="113" t="s">
        <v>539</v>
      </c>
      <c r="B26" s="113" t="s">
        <v>236</v>
      </c>
      <c r="C26" s="113" t="s">
        <v>1017</v>
      </c>
      <c r="D26" s="113" t="s">
        <v>1018</v>
      </c>
      <c r="E26" s="113" t="s">
        <v>1045</v>
      </c>
    </row>
    <row r="27" spans="1:5" ht="38.25" customHeight="1" x14ac:dyDescent="0.25">
      <c r="A27" s="113" t="s">
        <v>539</v>
      </c>
      <c r="B27" s="113" t="s">
        <v>236</v>
      </c>
      <c r="C27" s="113" t="s">
        <v>1017</v>
      </c>
      <c r="D27" s="113" t="s">
        <v>78</v>
      </c>
      <c r="E27" s="113" t="s">
        <v>1046</v>
      </c>
    </row>
    <row r="28" spans="1:5" ht="15" customHeight="1" x14ac:dyDescent="0.25">
      <c r="A28" s="113" t="s">
        <v>539</v>
      </c>
      <c r="B28" s="113" t="s">
        <v>236</v>
      </c>
      <c r="C28" s="113" t="s">
        <v>1017</v>
      </c>
      <c r="D28" s="113" t="s">
        <v>1018</v>
      </c>
      <c r="E28" s="113" t="s">
        <v>1047</v>
      </c>
    </row>
    <row r="29" spans="1:5" ht="15" customHeight="1" x14ac:dyDescent="0.25">
      <c r="A29" s="113" t="s">
        <v>539</v>
      </c>
      <c r="B29" s="113" t="s">
        <v>236</v>
      </c>
      <c r="C29" s="114" t="s">
        <v>1026</v>
      </c>
      <c r="D29" s="113" t="s">
        <v>1027</v>
      </c>
      <c r="E29" s="113" t="s">
        <v>1048</v>
      </c>
    </row>
    <row r="30" spans="1:5" ht="25.5" customHeight="1" x14ac:dyDescent="0.25">
      <c r="A30" s="113" t="s">
        <v>601</v>
      </c>
      <c r="B30" s="113" t="s">
        <v>326</v>
      </c>
      <c r="C30" s="113" t="s">
        <v>1017</v>
      </c>
      <c r="D30" s="113" t="s">
        <v>1043</v>
      </c>
      <c r="E30" s="113" t="s">
        <v>1044</v>
      </c>
    </row>
    <row r="31" spans="1:5" ht="25.5" customHeight="1" x14ac:dyDescent="0.25">
      <c r="A31" s="113" t="s">
        <v>601</v>
      </c>
      <c r="B31" s="113" t="s">
        <v>326</v>
      </c>
      <c r="C31" s="113" t="s">
        <v>1017</v>
      </c>
      <c r="D31" s="113" t="s">
        <v>78</v>
      </c>
      <c r="E31" s="113" t="s">
        <v>1049</v>
      </c>
    </row>
    <row r="32" spans="1:5" ht="25.5" customHeight="1" x14ac:dyDescent="0.25">
      <c r="A32" s="113" t="s">
        <v>601</v>
      </c>
      <c r="B32" s="113" t="s">
        <v>326</v>
      </c>
      <c r="C32" s="114" t="s">
        <v>1026</v>
      </c>
      <c r="D32" s="113" t="s">
        <v>1027</v>
      </c>
      <c r="E32" s="113" t="s">
        <v>1050</v>
      </c>
    </row>
    <row r="33" spans="1:5" ht="15" customHeight="1" x14ac:dyDescent="0.25">
      <c r="A33" s="113" t="s">
        <v>570</v>
      </c>
      <c r="B33" s="113" t="s">
        <v>283</v>
      </c>
      <c r="C33" s="113" t="s">
        <v>1017</v>
      </c>
      <c r="D33" s="113" t="s">
        <v>1043</v>
      </c>
      <c r="E33" s="113" t="s">
        <v>1044</v>
      </c>
    </row>
    <row r="34" spans="1:5" ht="15" customHeight="1" x14ac:dyDescent="0.25">
      <c r="A34" s="113" t="s">
        <v>570</v>
      </c>
      <c r="B34" s="113" t="s">
        <v>283</v>
      </c>
      <c r="C34" s="113" t="s">
        <v>1017</v>
      </c>
      <c r="D34" s="113" t="s">
        <v>78</v>
      </c>
      <c r="E34" s="113" t="s">
        <v>1051</v>
      </c>
    </row>
    <row r="35" spans="1:5" ht="15" customHeight="1" x14ac:dyDescent="0.25">
      <c r="A35" s="113" t="s">
        <v>570</v>
      </c>
      <c r="B35" s="113" t="s">
        <v>283</v>
      </c>
      <c r="C35" s="114" t="s">
        <v>1026</v>
      </c>
      <c r="D35" s="113" t="s">
        <v>1027</v>
      </c>
      <c r="E35" s="113" t="s">
        <v>1052</v>
      </c>
    </row>
    <row r="36" spans="1:5" ht="15" customHeight="1" x14ac:dyDescent="0.25">
      <c r="A36" s="113" t="s">
        <v>537</v>
      </c>
      <c r="B36" s="113" t="s">
        <v>234</v>
      </c>
      <c r="C36" s="113" t="s">
        <v>1017</v>
      </c>
      <c r="D36" s="113" t="s">
        <v>78</v>
      </c>
      <c r="E36" s="113" t="s">
        <v>1053</v>
      </c>
    </row>
    <row r="37" spans="1:5" ht="15" customHeight="1" x14ac:dyDescent="0.25">
      <c r="A37" s="113" t="s">
        <v>537</v>
      </c>
      <c r="B37" s="113" t="s">
        <v>234</v>
      </c>
      <c r="C37" s="113" t="s">
        <v>1021</v>
      </c>
      <c r="D37" s="113" t="s">
        <v>1021</v>
      </c>
      <c r="E37" s="113" t="s">
        <v>1054</v>
      </c>
    </row>
    <row r="38" spans="1:5" ht="15" customHeight="1" x14ac:dyDescent="0.25">
      <c r="A38" s="113" t="s">
        <v>537</v>
      </c>
      <c r="B38" s="113" t="s">
        <v>234</v>
      </c>
      <c r="C38" s="113" t="s">
        <v>1017</v>
      </c>
      <c r="D38" s="113" t="s">
        <v>1024</v>
      </c>
      <c r="E38" s="113" t="s">
        <v>1025</v>
      </c>
    </row>
    <row r="39" spans="1:5" ht="15" customHeight="1" x14ac:dyDescent="0.25">
      <c r="A39" s="113" t="s">
        <v>537</v>
      </c>
      <c r="B39" s="113" t="s">
        <v>234</v>
      </c>
      <c r="C39" s="114" t="s">
        <v>1026</v>
      </c>
      <c r="D39" s="113" t="s">
        <v>1027</v>
      </c>
      <c r="E39" s="113" t="s">
        <v>1055</v>
      </c>
    </row>
    <row r="40" spans="1:5" ht="15" customHeight="1" x14ac:dyDescent="0.25">
      <c r="A40" s="113" t="s">
        <v>444</v>
      </c>
      <c r="B40" s="113" t="s">
        <v>102</v>
      </c>
      <c r="C40" s="113" t="s">
        <v>1021</v>
      </c>
      <c r="D40" s="113" t="s">
        <v>1021</v>
      </c>
      <c r="E40" s="113" t="s">
        <v>1056</v>
      </c>
    </row>
    <row r="41" spans="1:5" ht="15" customHeight="1" x14ac:dyDescent="0.25">
      <c r="A41" s="113" t="s">
        <v>444</v>
      </c>
      <c r="B41" s="113" t="s">
        <v>102</v>
      </c>
      <c r="C41" s="113" t="s">
        <v>1017</v>
      </c>
      <c r="D41" s="113" t="s">
        <v>78</v>
      </c>
      <c r="E41" s="113" t="s">
        <v>1057</v>
      </c>
    </row>
    <row r="42" spans="1:5" ht="15" customHeight="1" x14ac:dyDescent="0.25">
      <c r="A42" s="113" t="s">
        <v>444</v>
      </c>
      <c r="B42" s="113" t="s">
        <v>102</v>
      </c>
      <c r="C42" s="113" t="s">
        <v>1017</v>
      </c>
      <c r="D42" s="113" t="s">
        <v>78</v>
      </c>
      <c r="E42" s="113" t="s">
        <v>1058</v>
      </c>
    </row>
    <row r="43" spans="1:5" ht="25.5" customHeight="1" x14ac:dyDescent="0.25">
      <c r="A43" s="113" t="s">
        <v>444</v>
      </c>
      <c r="B43" s="113" t="s">
        <v>102</v>
      </c>
      <c r="C43" s="113" t="s">
        <v>1017</v>
      </c>
      <c r="D43" s="113" t="s">
        <v>1018</v>
      </c>
      <c r="E43" s="113" t="s">
        <v>1059</v>
      </c>
    </row>
    <row r="44" spans="1:5" ht="15" customHeight="1" x14ac:dyDescent="0.25">
      <c r="A44" s="113" t="s">
        <v>444</v>
      </c>
      <c r="B44" s="113" t="s">
        <v>102</v>
      </c>
      <c r="C44" s="114" t="s">
        <v>1026</v>
      </c>
      <c r="D44" s="113" t="s">
        <v>1027</v>
      </c>
      <c r="E44" s="113" t="s">
        <v>1060</v>
      </c>
    </row>
    <row r="45" spans="1:5" ht="15" customHeight="1" x14ac:dyDescent="0.25">
      <c r="A45" s="113" t="s">
        <v>444</v>
      </c>
      <c r="B45" s="113" t="s">
        <v>102</v>
      </c>
      <c r="C45" s="114" t="s">
        <v>1026</v>
      </c>
      <c r="D45" s="113" t="s">
        <v>1024</v>
      </c>
      <c r="E45" s="113" t="s">
        <v>1061</v>
      </c>
    </row>
    <row r="46" spans="1:5" ht="15" customHeight="1" x14ac:dyDescent="0.25">
      <c r="A46" s="113" t="s">
        <v>444</v>
      </c>
      <c r="B46" s="113" t="s">
        <v>102</v>
      </c>
      <c r="C46" s="113" t="s">
        <v>1017</v>
      </c>
      <c r="D46" s="113" t="s">
        <v>1024</v>
      </c>
      <c r="E46" s="113" t="s">
        <v>1025</v>
      </c>
    </row>
    <row r="47" spans="1:5" ht="15" customHeight="1" x14ac:dyDescent="0.25">
      <c r="A47" s="113" t="s">
        <v>444</v>
      </c>
      <c r="B47" s="113" t="s">
        <v>102</v>
      </c>
      <c r="C47" s="114" t="s">
        <v>1026</v>
      </c>
      <c r="D47" s="113" t="s">
        <v>1027</v>
      </c>
      <c r="E47" s="113" t="s">
        <v>1062</v>
      </c>
    </row>
    <row r="48" spans="1:5" ht="25.5" customHeight="1" x14ac:dyDescent="0.25">
      <c r="A48" s="113" t="s">
        <v>444</v>
      </c>
      <c r="B48" s="113" t="s">
        <v>102</v>
      </c>
      <c r="C48" s="113" t="s">
        <v>1017</v>
      </c>
      <c r="D48" s="113" t="s">
        <v>78</v>
      </c>
      <c r="E48" s="113" t="s">
        <v>1063</v>
      </c>
    </row>
    <row r="49" spans="1:5" ht="15" customHeight="1" x14ac:dyDescent="0.25">
      <c r="A49" s="113" t="s">
        <v>484</v>
      </c>
      <c r="B49" s="113" t="s">
        <v>166</v>
      </c>
      <c r="C49" s="113" t="s">
        <v>1017</v>
      </c>
      <c r="D49" s="113" t="s">
        <v>1043</v>
      </c>
      <c r="E49" s="113" t="s">
        <v>1044</v>
      </c>
    </row>
    <row r="50" spans="1:5" ht="15" customHeight="1" x14ac:dyDescent="0.25">
      <c r="A50" s="113" t="s">
        <v>484</v>
      </c>
      <c r="B50" s="113" t="s">
        <v>166</v>
      </c>
      <c r="C50" s="113" t="s">
        <v>1017</v>
      </c>
      <c r="D50" s="113" t="s">
        <v>78</v>
      </c>
      <c r="E50" s="113" t="s">
        <v>1064</v>
      </c>
    </row>
    <row r="51" spans="1:5" ht="15" customHeight="1" x14ac:dyDescent="0.25">
      <c r="A51" s="113" t="s">
        <v>484</v>
      </c>
      <c r="B51" s="113" t="s">
        <v>166</v>
      </c>
      <c r="C51" s="114" t="s">
        <v>1026</v>
      </c>
      <c r="D51" s="113" t="s">
        <v>1027</v>
      </c>
      <c r="E51" s="113" t="s">
        <v>1065</v>
      </c>
    </row>
    <row r="52" spans="1:5" ht="25.5" customHeight="1" x14ac:dyDescent="0.25">
      <c r="A52" s="113" t="s">
        <v>492</v>
      </c>
      <c r="B52" s="113" t="s">
        <v>175</v>
      </c>
      <c r="C52" s="113" t="s">
        <v>1017</v>
      </c>
      <c r="D52" s="113" t="s">
        <v>78</v>
      </c>
      <c r="E52" s="113" t="s">
        <v>1066</v>
      </c>
    </row>
    <row r="53" spans="1:5" ht="25.5" customHeight="1" x14ac:dyDescent="0.25">
      <c r="A53" s="113" t="s">
        <v>492</v>
      </c>
      <c r="B53" s="113" t="s">
        <v>175</v>
      </c>
      <c r="C53" s="113" t="s">
        <v>1021</v>
      </c>
      <c r="D53" s="113" t="s">
        <v>1021</v>
      </c>
      <c r="E53" s="113" t="s">
        <v>1067</v>
      </c>
    </row>
    <row r="54" spans="1:5" ht="25.5" customHeight="1" x14ac:dyDescent="0.25">
      <c r="A54" s="113" t="s">
        <v>492</v>
      </c>
      <c r="B54" s="113" t="s">
        <v>175</v>
      </c>
      <c r="C54" s="113" t="s">
        <v>1017</v>
      </c>
      <c r="D54" s="113" t="s">
        <v>1024</v>
      </c>
      <c r="E54" s="113" t="s">
        <v>1025</v>
      </c>
    </row>
    <row r="55" spans="1:5" ht="25.5" customHeight="1" x14ac:dyDescent="0.25">
      <c r="A55" s="113" t="s">
        <v>492</v>
      </c>
      <c r="B55" s="113" t="s">
        <v>175</v>
      </c>
      <c r="C55" s="114" t="s">
        <v>1026</v>
      </c>
      <c r="D55" s="113" t="s">
        <v>1027</v>
      </c>
      <c r="E55" s="113" t="s">
        <v>1068</v>
      </c>
    </row>
    <row r="56" spans="1:5" ht="25.5" customHeight="1" x14ac:dyDescent="0.25">
      <c r="A56" s="113" t="s">
        <v>492</v>
      </c>
      <c r="B56" s="113" t="s">
        <v>175</v>
      </c>
      <c r="C56" s="113" t="s">
        <v>1017</v>
      </c>
      <c r="D56" s="113" t="s">
        <v>78</v>
      </c>
      <c r="E56" s="113" t="s">
        <v>1069</v>
      </c>
    </row>
    <row r="57" spans="1:5" ht="15" customHeight="1" x14ac:dyDescent="0.25">
      <c r="A57" s="113" t="s">
        <v>548</v>
      </c>
      <c r="B57" s="113" t="s">
        <v>250</v>
      </c>
      <c r="C57" s="113" t="s">
        <v>1017</v>
      </c>
      <c r="D57" s="113" t="s">
        <v>78</v>
      </c>
      <c r="E57" s="113" t="s">
        <v>1070</v>
      </c>
    </row>
    <row r="58" spans="1:5" ht="15" customHeight="1" x14ac:dyDescent="0.25">
      <c r="A58" s="113" t="s">
        <v>548</v>
      </c>
      <c r="B58" s="113" t="s">
        <v>250</v>
      </c>
      <c r="C58" s="113" t="s">
        <v>1021</v>
      </c>
      <c r="D58" s="113" t="s">
        <v>1021</v>
      </c>
      <c r="E58" s="113" t="s">
        <v>1071</v>
      </c>
    </row>
    <row r="59" spans="1:5" ht="15" customHeight="1" x14ac:dyDescent="0.25">
      <c r="A59" s="113" t="s">
        <v>548</v>
      </c>
      <c r="B59" s="113" t="s">
        <v>250</v>
      </c>
      <c r="C59" s="113" t="s">
        <v>1021</v>
      </c>
      <c r="D59" s="113" t="s">
        <v>1021</v>
      </c>
      <c r="E59" s="113" t="s">
        <v>1072</v>
      </c>
    </row>
    <row r="60" spans="1:5" ht="15" customHeight="1" x14ac:dyDescent="0.25">
      <c r="A60" s="113" t="s">
        <v>548</v>
      </c>
      <c r="B60" s="113" t="s">
        <v>250</v>
      </c>
      <c r="C60" s="113" t="s">
        <v>1017</v>
      </c>
      <c r="D60" s="113" t="s">
        <v>1024</v>
      </c>
      <c r="E60" s="113" t="s">
        <v>1025</v>
      </c>
    </row>
    <row r="61" spans="1:5" ht="15" customHeight="1" x14ac:dyDescent="0.25">
      <c r="A61" s="113" t="s">
        <v>548</v>
      </c>
      <c r="B61" s="113" t="s">
        <v>250</v>
      </c>
      <c r="C61" s="114" t="s">
        <v>1026</v>
      </c>
      <c r="D61" s="113" t="s">
        <v>1027</v>
      </c>
      <c r="E61" s="113" t="s">
        <v>1073</v>
      </c>
    </row>
    <row r="62" spans="1:5" ht="15" customHeight="1" x14ac:dyDescent="0.25">
      <c r="A62" s="113" t="s">
        <v>497</v>
      </c>
      <c r="B62" s="113" t="s">
        <v>186</v>
      </c>
      <c r="C62" s="113" t="s">
        <v>1017</v>
      </c>
      <c r="D62" s="113" t="s">
        <v>78</v>
      </c>
      <c r="E62" s="113" t="s">
        <v>1074</v>
      </c>
    </row>
    <row r="63" spans="1:5" ht="15" customHeight="1" x14ac:dyDescent="0.25">
      <c r="A63" s="113" t="s">
        <v>497</v>
      </c>
      <c r="B63" s="113" t="s">
        <v>186</v>
      </c>
      <c r="C63" s="113" t="s">
        <v>1021</v>
      </c>
      <c r="D63" s="113" t="s">
        <v>1021</v>
      </c>
      <c r="E63" s="113" t="s">
        <v>1075</v>
      </c>
    </row>
    <row r="64" spans="1:5" ht="15" customHeight="1" x14ac:dyDescent="0.25">
      <c r="A64" s="113" t="s">
        <v>497</v>
      </c>
      <c r="B64" s="113" t="s">
        <v>186</v>
      </c>
      <c r="C64" s="113" t="s">
        <v>1017</v>
      </c>
      <c r="D64" s="113" t="s">
        <v>1024</v>
      </c>
      <c r="E64" s="113" t="s">
        <v>1025</v>
      </c>
    </row>
    <row r="65" spans="1:5" ht="15" customHeight="1" x14ac:dyDescent="0.25">
      <c r="A65" s="113" t="s">
        <v>497</v>
      </c>
      <c r="B65" s="113" t="s">
        <v>186</v>
      </c>
      <c r="C65" s="114" t="s">
        <v>1026</v>
      </c>
      <c r="D65" s="113" t="s">
        <v>1027</v>
      </c>
      <c r="E65" s="113" t="s">
        <v>1076</v>
      </c>
    </row>
    <row r="66" spans="1:5" ht="25.5" customHeight="1" x14ac:dyDescent="0.25">
      <c r="A66" s="113" t="s">
        <v>497</v>
      </c>
      <c r="B66" s="113" t="s">
        <v>186</v>
      </c>
      <c r="C66" s="113" t="s">
        <v>1017</v>
      </c>
      <c r="D66" s="113" t="s">
        <v>78</v>
      </c>
      <c r="E66" s="113" t="s">
        <v>1077</v>
      </c>
    </row>
    <row r="67" spans="1:5" ht="15" customHeight="1" x14ac:dyDescent="0.25">
      <c r="A67" s="113" t="s">
        <v>619</v>
      </c>
      <c r="B67" s="113" t="s">
        <v>352</v>
      </c>
      <c r="C67" s="113" t="s">
        <v>1017</v>
      </c>
      <c r="D67" s="113" t="s">
        <v>1043</v>
      </c>
      <c r="E67" s="113" t="s">
        <v>1044</v>
      </c>
    </row>
    <row r="68" spans="1:5" ht="15" customHeight="1" x14ac:dyDescent="0.25">
      <c r="A68" s="113" t="s">
        <v>619</v>
      </c>
      <c r="B68" s="113" t="s">
        <v>352</v>
      </c>
      <c r="C68" s="113" t="s">
        <v>1017</v>
      </c>
      <c r="D68" s="113" t="s">
        <v>78</v>
      </c>
      <c r="E68" s="113" t="s">
        <v>1078</v>
      </c>
    </row>
    <row r="69" spans="1:5" ht="15" customHeight="1" x14ac:dyDescent="0.25">
      <c r="A69" s="113" t="s">
        <v>619</v>
      </c>
      <c r="B69" s="113" t="s">
        <v>352</v>
      </c>
      <c r="C69" s="114" t="s">
        <v>1026</v>
      </c>
      <c r="D69" s="113" t="s">
        <v>1027</v>
      </c>
      <c r="E69" s="113" t="s">
        <v>1079</v>
      </c>
    </row>
    <row r="70" spans="1:5" ht="15" customHeight="1" x14ac:dyDescent="0.25">
      <c r="A70" s="113" t="s">
        <v>619</v>
      </c>
      <c r="B70" s="113" t="s">
        <v>352</v>
      </c>
      <c r="C70" s="114" t="s">
        <v>1026</v>
      </c>
      <c r="D70" s="113" t="s">
        <v>1027</v>
      </c>
      <c r="E70" s="113" t="s">
        <v>1080</v>
      </c>
    </row>
    <row r="71" spans="1:5" ht="15" customHeight="1" x14ac:dyDescent="0.25">
      <c r="A71" s="113" t="s">
        <v>521</v>
      </c>
      <c r="B71" s="113" t="s">
        <v>215</v>
      </c>
      <c r="C71" s="113" t="s">
        <v>1017</v>
      </c>
      <c r="D71" s="113" t="s">
        <v>78</v>
      </c>
      <c r="E71" s="113" t="s">
        <v>1081</v>
      </c>
    </row>
    <row r="72" spans="1:5" ht="15" customHeight="1" x14ac:dyDescent="0.25">
      <c r="A72" s="113" t="s">
        <v>521</v>
      </c>
      <c r="B72" s="113" t="s">
        <v>215</v>
      </c>
      <c r="C72" s="113" t="s">
        <v>1021</v>
      </c>
      <c r="D72" s="113" t="s">
        <v>1021</v>
      </c>
      <c r="E72" s="113" t="s">
        <v>1082</v>
      </c>
    </row>
    <row r="73" spans="1:5" ht="15" customHeight="1" x14ac:dyDescent="0.25">
      <c r="A73" s="113" t="s">
        <v>521</v>
      </c>
      <c r="B73" s="113" t="s">
        <v>215</v>
      </c>
      <c r="C73" s="113" t="s">
        <v>1017</v>
      </c>
      <c r="D73" s="113" t="s">
        <v>1024</v>
      </c>
      <c r="E73" s="113" t="s">
        <v>1025</v>
      </c>
    </row>
    <row r="74" spans="1:5" ht="15" customHeight="1" x14ac:dyDescent="0.25">
      <c r="A74" s="113" t="s">
        <v>521</v>
      </c>
      <c r="B74" s="113" t="s">
        <v>215</v>
      </c>
      <c r="C74" s="114" t="s">
        <v>1026</v>
      </c>
      <c r="D74" s="113" t="s">
        <v>1027</v>
      </c>
      <c r="E74" s="113" t="s">
        <v>1083</v>
      </c>
    </row>
    <row r="75" spans="1:5" ht="15" customHeight="1" x14ac:dyDescent="0.25">
      <c r="A75" s="113" t="s">
        <v>475</v>
      </c>
      <c r="B75" s="113" t="s">
        <v>155</v>
      </c>
      <c r="C75" s="113" t="s">
        <v>1017</v>
      </c>
      <c r="D75" s="113" t="s">
        <v>1043</v>
      </c>
      <c r="E75" s="113" t="s">
        <v>1044</v>
      </c>
    </row>
    <row r="76" spans="1:5" ht="15" customHeight="1" x14ac:dyDescent="0.25">
      <c r="A76" s="113" t="s">
        <v>475</v>
      </c>
      <c r="B76" s="113" t="s">
        <v>155</v>
      </c>
      <c r="C76" s="113" t="s">
        <v>1017</v>
      </c>
      <c r="D76" s="113" t="s">
        <v>78</v>
      </c>
      <c r="E76" s="113" t="s">
        <v>1084</v>
      </c>
    </row>
    <row r="77" spans="1:5" ht="15" customHeight="1" x14ac:dyDescent="0.25">
      <c r="A77" s="113" t="s">
        <v>475</v>
      </c>
      <c r="B77" s="113" t="s">
        <v>155</v>
      </c>
      <c r="C77" s="114" t="s">
        <v>1026</v>
      </c>
      <c r="D77" s="113" t="s">
        <v>1027</v>
      </c>
      <c r="E77" s="113" t="s">
        <v>1085</v>
      </c>
    </row>
    <row r="78" spans="1:5" ht="15" customHeight="1" x14ac:dyDescent="0.25">
      <c r="A78" s="113" t="s">
        <v>498</v>
      </c>
      <c r="B78" s="113" t="s">
        <v>187</v>
      </c>
      <c r="C78" s="113" t="s">
        <v>1017</v>
      </c>
      <c r="D78" s="113" t="s">
        <v>1043</v>
      </c>
      <c r="E78" s="113" t="s">
        <v>1044</v>
      </c>
    </row>
    <row r="79" spans="1:5" ht="15" customHeight="1" x14ac:dyDescent="0.25">
      <c r="A79" s="113" t="s">
        <v>498</v>
      </c>
      <c r="B79" s="113" t="s">
        <v>187</v>
      </c>
      <c r="C79" s="113" t="s">
        <v>1017</v>
      </c>
      <c r="D79" s="113" t="s">
        <v>78</v>
      </c>
      <c r="E79" s="113" t="s">
        <v>1086</v>
      </c>
    </row>
    <row r="80" spans="1:5" ht="15" customHeight="1" x14ac:dyDescent="0.25">
      <c r="A80" s="113" t="s">
        <v>498</v>
      </c>
      <c r="B80" s="113" t="s">
        <v>187</v>
      </c>
      <c r="C80" s="114" t="s">
        <v>1026</v>
      </c>
      <c r="D80" s="113" t="s">
        <v>1027</v>
      </c>
      <c r="E80" s="113" t="s">
        <v>1087</v>
      </c>
    </row>
    <row r="81" spans="1:5" ht="15" customHeight="1" x14ac:dyDescent="0.25">
      <c r="A81" s="113" t="s">
        <v>479</v>
      </c>
      <c r="B81" s="113" t="s">
        <v>159</v>
      </c>
      <c r="C81" s="113" t="s">
        <v>1017</v>
      </c>
      <c r="D81" s="113" t="s">
        <v>78</v>
      </c>
      <c r="E81" s="113" t="s">
        <v>1088</v>
      </c>
    </row>
    <row r="82" spans="1:5" ht="15" customHeight="1" x14ac:dyDescent="0.25">
      <c r="A82" s="113" t="s">
        <v>479</v>
      </c>
      <c r="B82" s="113" t="s">
        <v>159</v>
      </c>
      <c r="C82" s="114" t="s">
        <v>1026</v>
      </c>
      <c r="D82" s="113" t="s">
        <v>1089</v>
      </c>
      <c r="E82" s="113" t="s">
        <v>1090</v>
      </c>
    </row>
    <row r="83" spans="1:5" ht="15" customHeight="1" x14ac:dyDescent="0.25">
      <c r="A83" s="113" t="s">
        <v>479</v>
      </c>
      <c r="B83" s="113" t="s">
        <v>159</v>
      </c>
      <c r="C83" s="113" t="s">
        <v>1021</v>
      </c>
      <c r="D83" s="113" t="s">
        <v>1021</v>
      </c>
      <c r="E83" s="113" t="s">
        <v>1067</v>
      </c>
    </row>
    <row r="84" spans="1:5" ht="15" customHeight="1" x14ac:dyDescent="0.25">
      <c r="A84" s="113" t="s">
        <v>499</v>
      </c>
      <c r="B84" s="113" t="s">
        <v>188</v>
      </c>
      <c r="C84" s="113" t="s">
        <v>1017</v>
      </c>
      <c r="D84" s="113" t="s">
        <v>1043</v>
      </c>
      <c r="E84" s="113" t="s">
        <v>1044</v>
      </c>
    </row>
    <row r="85" spans="1:5" ht="15" customHeight="1" x14ac:dyDescent="0.25">
      <c r="A85" s="113" t="s">
        <v>499</v>
      </c>
      <c r="B85" s="113" t="s">
        <v>188</v>
      </c>
      <c r="C85" s="113" t="s">
        <v>1017</v>
      </c>
      <c r="D85" s="113" t="s">
        <v>78</v>
      </c>
      <c r="E85" s="113" t="s">
        <v>1091</v>
      </c>
    </row>
    <row r="86" spans="1:5" ht="15" customHeight="1" x14ac:dyDescent="0.25">
      <c r="A86" s="113" t="s">
        <v>499</v>
      </c>
      <c r="B86" s="113" t="s">
        <v>188</v>
      </c>
      <c r="C86" s="114" t="s">
        <v>1026</v>
      </c>
      <c r="D86" s="113" t="s">
        <v>1027</v>
      </c>
      <c r="E86" s="113" t="s">
        <v>1092</v>
      </c>
    </row>
    <row r="87" spans="1:5" ht="25.5" customHeight="1" x14ac:dyDescent="0.25">
      <c r="A87" s="113" t="s">
        <v>464</v>
      </c>
      <c r="B87" s="113" t="s">
        <v>136</v>
      </c>
      <c r="C87" s="113" t="s">
        <v>1017</v>
      </c>
      <c r="D87" s="113" t="s">
        <v>1043</v>
      </c>
      <c r="E87" s="113" t="s">
        <v>1044</v>
      </c>
    </row>
    <row r="88" spans="1:5" ht="25.5" customHeight="1" x14ac:dyDescent="0.25">
      <c r="A88" s="113" t="s">
        <v>464</v>
      </c>
      <c r="B88" s="113" t="s">
        <v>136</v>
      </c>
      <c r="C88" s="113" t="s">
        <v>1017</v>
      </c>
      <c r="D88" s="113" t="s">
        <v>1018</v>
      </c>
      <c r="E88" s="113" t="s">
        <v>1093</v>
      </c>
    </row>
    <row r="89" spans="1:5" ht="25.5" customHeight="1" x14ac:dyDescent="0.25">
      <c r="A89" s="113" t="s">
        <v>464</v>
      </c>
      <c r="B89" s="113" t="s">
        <v>136</v>
      </c>
      <c r="C89" s="113" t="s">
        <v>1017</v>
      </c>
      <c r="D89" s="113" t="s">
        <v>78</v>
      </c>
      <c r="E89" s="113" t="s">
        <v>1094</v>
      </c>
    </row>
    <row r="90" spans="1:5" ht="25.5" customHeight="1" x14ac:dyDescent="0.25">
      <c r="A90" s="113" t="s">
        <v>464</v>
      </c>
      <c r="B90" s="113" t="s">
        <v>136</v>
      </c>
      <c r="C90" s="114" t="s">
        <v>1026</v>
      </c>
      <c r="D90" s="113" t="s">
        <v>1027</v>
      </c>
      <c r="E90" s="113" t="s">
        <v>1095</v>
      </c>
    </row>
    <row r="91" spans="1:5" ht="25.5" customHeight="1" x14ac:dyDescent="0.25">
      <c r="A91" s="113" t="s">
        <v>459</v>
      </c>
      <c r="B91" s="113" t="s">
        <v>128</v>
      </c>
      <c r="C91" s="113" t="s">
        <v>1017</v>
      </c>
      <c r="D91" s="113" t="s">
        <v>78</v>
      </c>
      <c r="E91" s="113" t="s">
        <v>1096</v>
      </c>
    </row>
    <row r="92" spans="1:5" ht="15" customHeight="1" x14ac:dyDescent="0.25">
      <c r="A92" s="113" t="s">
        <v>459</v>
      </c>
      <c r="B92" s="113" t="s">
        <v>128</v>
      </c>
      <c r="C92" s="113" t="s">
        <v>1021</v>
      </c>
      <c r="D92" s="113" t="s">
        <v>1021</v>
      </c>
      <c r="E92" s="113" t="s">
        <v>1075</v>
      </c>
    </row>
    <row r="93" spans="1:5" ht="15" customHeight="1" x14ac:dyDescent="0.25">
      <c r="A93" s="113" t="s">
        <v>459</v>
      </c>
      <c r="B93" s="113" t="s">
        <v>128</v>
      </c>
      <c r="C93" s="113" t="s">
        <v>1017</v>
      </c>
      <c r="D93" s="113" t="s">
        <v>1024</v>
      </c>
      <c r="E93" s="113" t="s">
        <v>1025</v>
      </c>
    </row>
    <row r="94" spans="1:5" ht="15" customHeight="1" x14ac:dyDescent="0.25">
      <c r="A94" s="113" t="s">
        <v>459</v>
      </c>
      <c r="B94" s="113" t="s">
        <v>128</v>
      </c>
      <c r="C94" s="114" t="s">
        <v>1026</v>
      </c>
      <c r="D94" s="113" t="s">
        <v>1027</v>
      </c>
      <c r="E94" s="113" t="s">
        <v>1097</v>
      </c>
    </row>
    <row r="95" spans="1:5" ht="25.5" customHeight="1" x14ac:dyDescent="0.25">
      <c r="A95" s="113" t="s">
        <v>459</v>
      </c>
      <c r="B95" s="113" t="s">
        <v>128</v>
      </c>
      <c r="C95" s="113" t="s">
        <v>1017</v>
      </c>
      <c r="D95" s="113" t="s">
        <v>78</v>
      </c>
      <c r="E95" s="113" t="s">
        <v>1098</v>
      </c>
    </row>
    <row r="96" spans="1:5" ht="25.5" customHeight="1" x14ac:dyDescent="0.25">
      <c r="A96" s="113" t="s">
        <v>509</v>
      </c>
      <c r="B96" s="113" t="s">
        <v>202</v>
      </c>
      <c r="C96" s="113" t="s">
        <v>1017</v>
      </c>
      <c r="D96" s="113" t="s">
        <v>1043</v>
      </c>
      <c r="E96" s="113" t="s">
        <v>1044</v>
      </c>
    </row>
    <row r="97" spans="1:5" ht="25.5" customHeight="1" x14ac:dyDescent="0.25">
      <c r="A97" s="113" t="s">
        <v>509</v>
      </c>
      <c r="B97" s="113" t="s">
        <v>202</v>
      </c>
      <c r="C97" s="113" t="s">
        <v>1017</v>
      </c>
      <c r="D97" s="113" t="s">
        <v>78</v>
      </c>
      <c r="E97" s="113" t="s">
        <v>1099</v>
      </c>
    </row>
    <row r="98" spans="1:5" ht="25.5" customHeight="1" x14ac:dyDescent="0.25">
      <c r="A98" s="113" t="s">
        <v>509</v>
      </c>
      <c r="B98" s="113" t="s">
        <v>202</v>
      </c>
      <c r="C98" s="114" t="s">
        <v>1026</v>
      </c>
      <c r="D98" s="113" t="s">
        <v>1027</v>
      </c>
      <c r="E98" s="113" t="s">
        <v>1100</v>
      </c>
    </row>
    <row r="99" spans="1:5" ht="15" customHeight="1" x14ac:dyDescent="0.25">
      <c r="A99" s="113" t="s">
        <v>528</v>
      </c>
      <c r="B99" s="113" t="s">
        <v>223</v>
      </c>
      <c r="C99" s="113" t="s">
        <v>1017</v>
      </c>
      <c r="D99" s="113" t="s">
        <v>1043</v>
      </c>
      <c r="E99" s="113" t="s">
        <v>1044</v>
      </c>
    </row>
    <row r="100" spans="1:5" ht="15" customHeight="1" x14ac:dyDescent="0.25">
      <c r="A100" s="113" t="s">
        <v>528</v>
      </c>
      <c r="B100" s="113" t="s">
        <v>223</v>
      </c>
      <c r="C100" s="113" t="s">
        <v>1017</v>
      </c>
      <c r="D100" s="113" t="s">
        <v>78</v>
      </c>
      <c r="E100" s="113" t="s">
        <v>1101</v>
      </c>
    </row>
    <row r="101" spans="1:5" ht="15" customHeight="1" x14ac:dyDescent="0.25">
      <c r="A101" s="113" t="s">
        <v>528</v>
      </c>
      <c r="B101" s="113" t="s">
        <v>223</v>
      </c>
      <c r="C101" s="114" t="s">
        <v>1026</v>
      </c>
      <c r="D101" s="113" t="s">
        <v>1027</v>
      </c>
      <c r="E101" s="113" t="s">
        <v>1102</v>
      </c>
    </row>
    <row r="102" spans="1:5" ht="25.5" customHeight="1" x14ac:dyDescent="0.25">
      <c r="A102" s="113" t="s">
        <v>513</v>
      </c>
      <c r="B102" s="113" t="s">
        <v>207</v>
      </c>
      <c r="C102" s="113" t="s">
        <v>1017</v>
      </c>
      <c r="D102" s="113" t="s">
        <v>78</v>
      </c>
      <c r="E102" s="113" t="s">
        <v>1103</v>
      </c>
    </row>
    <row r="103" spans="1:5" ht="25.5" customHeight="1" x14ac:dyDescent="0.25">
      <c r="A103" s="113" t="s">
        <v>513</v>
      </c>
      <c r="B103" s="113" t="s">
        <v>207</v>
      </c>
      <c r="C103" s="113" t="s">
        <v>1021</v>
      </c>
      <c r="D103" s="113" t="s">
        <v>1021</v>
      </c>
      <c r="E103" s="113" t="s">
        <v>1067</v>
      </c>
    </row>
    <row r="104" spans="1:5" ht="25.5" customHeight="1" x14ac:dyDescent="0.25">
      <c r="A104" s="113" t="s">
        <v>513</v>
      </c>
      <c r="B104" s="113" t="s">
        <v>207</v>
      </c>
      <c r="C104" s="113" t="s">
        <v>1017</v>
      </c>
      <c r="D104" s="113" t="s">
        <v>1024</v>
      </c>
      <c r="E104" s="113" t="s">
        <v>1025</v>
      </c>
    </row>
    <row r="105" spans="1:5" ht="25.5" customHeight="1" x14ac:dyDescent="0.25">
      <c r="A105" s="113" t="s">
        <v>513</v>
      </c>
      <c r="B105" s="113" t="s">
        <v>207</v>
      </c>
      <c r="C105" s="114" t="s">
        <v>1026</v>
      </c>
      <c r="D105" s="113" t="s">
        <v>1027</v>
      </c>
      <c r="E105" s="113" t="s">
        <v>1104</v>
      </c>
    </row>
    <row r="106" spans="1:5" ht="25.5" customHeight="1" x14ac:dyDescent="0.25">
      <c r="A106" s="113" t="s">
        <v>513</v>
      </c>
      <c r="B106" s="113" t="s">
        <v>207</v>
      </c>
      <c r="C106" s="113" t="s">
        <v>1017</v>
      </c>
      <c r="D106" s="113" t="s">
        <v>78</v>
      </c>
      <c r="E106" s="113" t="s">
        <v>1105</v>
      </c>
    </row>
    <row r="107" spans="1:5" ht="15" customHeight="1" x14ac:dyDescent="0.25">
      <c r="A107" s="113" t="s">
        <v>615</v>
      </c>
      <c r="B107" s="113" t="s">
        <v>347</v>
      </c>
      <c r="C107" s="113" t="s">
        <v>1017</v>
      </c>
      <c r="D107" s="113" t="s">
        <v>1018</v>
      </c>
      <c r="E107" s="113" t="s">
        <v>1106</v>
      </c>
    </row>
    <row r="108" spans="1:5" ht="15" customHeight="1" x14ac:dyDescent="0.25">
      <c r="A108" s="113" t="s">
        <v>615</v>
      </c>
      <c r="B108" s="113" t="s">
        <v>347</v>
      </c>
      <c r="C108" s="113" t="s">
        <v>1017</v>
      </c>
      <c r="D108" s="113" t="s">
        <v>1018</v>
      </c>
      <c r="E108" s="113" t="s">
        <v>1107</v>
      </c>
    </row>
    <row r="109" spans="1:5" ht="25.5" customHeight="1" x14ac:dyDescent="0.25">
      <c r="A109" s="113" t="s">
        <v>615</v>
      </c>
      <c r="B109" s="113" t="s">
        <v>347</v>
      </c>
      <c r="C109" s="113" t="s">
        <v>1017</v>
      </c>
      <c r="D109" s="113" t="s">
        <v>78</v>
      </c>
      <c r="E109" s="113" t="s">
        <v>1108</v>
      </c>
    </row>
    <row r="110" spans="1:5" ht="15" customHeight="1" x14ac:dyDescent="0.25">
      <c r="A110" s="113" t="s">
        <v>566</v>
      </c>
      <c r="B110" s="113" t="s">
        <v>278</v>
      </c>
      <c r="C110" s="113" t="s">
        <v>1017</v>
      </c>
      <c r="D110" s="113" t="s">
        <v>1043</v>
      </c>
      <c r="E110" s="113" t="s">
        <v>1044</v>
      </c>
    </row>
    <row r="111" spans="1:5" ht="15" customHeight="1" x14ac:dyDescent="0.25">
      <c r="A111" s="113" t="s">
        <v>566</v>
      </c>
      <c r="B111" s="113" t="s">
        <v>278</v>
      </c>
      <c r="C111" s="113" t="s">
        <v>1017</v>
      </c>
      <c r="D111" s="113" t="s">
        <v>78</v>
      </c>
      <c r="E111" s="113" t="s">
        <v>1109</v>
      </c>
    </row>
    <row r="112" spans="1:5" ht="15" customHeight="1" x14ac:dyDescent="0.25">
      <c r="A112" s="113" t="s">
        <v>566</v>
      </c>
      <c r="B112" s="113" t="s">
        <v>278</v>
      </c>
      <c r="C112" s="114" t="s">
        <v>1026</v>
      </c>
      <c r="D112" s="113" t="s">
        <v>1027</v>
      </c>
      <c r="E112" s="113" t="s">
        <v>1110</v>
      </c>
    </row>
    <row r="113" spans="1:5" ht="15" customHeight="1" x14ac:dyDescent="0.25">
      <c r="A113" s="113" t="s">
        <v>623</v>
      </c>
      <c r="B113" s="113" t="s">
        <v>358</v>
      </c>
      <c r="C113" s="113" t="s">
        <v>1017</v>
      </c>
      <c r="D113" s="113" t="s">
        <v>1043</v>
      </c>
      <c r="E113" s="113" t="s">
        <v>1044</v>
      </c>
    </row>
    <row r="114" spans="1:5" ht="15" customHeight="1" x14ac:dyDescent="0.25">
      <c r="A114" s="113" t="s">
        <v>623</v>
      </c>
      <c r="B114" s="113" t="s">
        <v>358</v>
      </c>
      <c r="C114" s="113" t="s">
        <v>1017</v>
      </c>
      <c r="D114" s="113" t="s">
        <v>78</v>
      </c>
      <c r="E114" s="113" t="s">
        <v>1111</v>
      </c>
    </row>
    <row r="115" spans="1:5" ht="15" customHeight="1" x14ac:dyDescent="0.25">
      <c r="A115" s="113" t="s">
        <v>623</v>
      </c>
      <c r="B115" s="113" t="s">
        <v>358</v>
      </c>
      <c r="C115" s="114" t="s">
        <v>1026</v>
      </c>
      <c r="D115" s="113" t="s">
        <v>1027</v>
      </c>
      <c r="E115" s="113" t="s">
        <v>1112</v>
      </c>
    </row>
    <row r="116" spans="1:5" ht="15" customHeight="1" x14ac:dyDescent="0.25">
      <c r="A116" s="113" t="s">
        <v>556</v>
      </c>
      <c r="B116" s="113" t="s">
        <v>262</v>
      </c>
      <c r="C116" s="113" t="s">
        <v>1017</v>
      </c>
      <c r="D116" s="113" t="s">
        <v>1043</v>
      </c>
      <c r="E116" s="113" t="s">
        <v>1044</v>
      </c>
    </row>
    <row r="117" spans="1:5" ht="15" customHeight="1" x14ac:dyDescent="0.25">
      <c r="A117" s="113" t="s">
        <v>556</v>
      </c>
      <c r="B117" s="113" t="s">
        <v>262</v>
      </c>
      <c r="C117" s="113" t="s">
        <v>1017</v>
      </c>
      <c r="D117" s="113" t="s">
        <v>78</v>
      </c>
      <c r="E117" s="113" t="s">
        <v>1113</v>
      </c>
    </row>
    <row r="118" spans="1:5" ht="15" customHeight="1" x14ac:dyDescent="0.25">
      <c r="A118" s="113" t="s">
        <v>556</v>
      </c>
      <c r="B118" s="113" t="s">
        <v>262</v>
      </c>
      <c r="C118" s="114" t="s">
        <v>1026</v>
      </c>
      <c r="D118" s="113" t="s">
        <v>1027</v>
      </c>
      <c r="E118" s="113" t="s">
        <v>1114</v>
      </c>
    </row>
    <row r="119" spans="1:5" ht="15" customHeight="1" x14ac:dyDescent="0.25">
      <c r="A119" s="113" t="s">
        <v>557</v>
      </c>
      <c r="B119" s="113" t="s">
        <v>264</v>
      </c>
      <c r="C119" s="113" t="s">
        <v>1017</v>
      </c>
      <c r="D119" s="113" t="s">
        <v>1043</v>
      </c>
      <c r="E119" s="113" t="s">
        <v>1044</v>
      </c>
    </row>
    <row r="120" spans="1:5" ht="15" customHeight="1" x14ac:dyDescent="0.25">
      <c r="A120" s="113" t="s">
        <v>557</v>
      </c>
      <c r="B120" s="113" t="s">
        <v>264</v>
      </c>
      <c r="C120" s="113" t="s">
        <v>1017</v>
      </c>
      <c r="D120" s="113" t="s">
        <v>78</v>
      </c>
      <c r="E120" s="113" t="s">
        <v>1115</v>
      </c>
    </row>
    <row r="121" spans="1:5" ht="15" customHeight="1" x14ac:dyDescent="0.25">
      <c r="A121" s="113" t="s">
        <v>557</v>
      </c>
      <c r="B121" s="113" t="s">
        <v>264</v>
      </c>
      <c r="C121" s="114" t="s">
        <v>1026</v>
      </c>
      <c r="D121" s="113" t="s">
        <v>1027</v>
      </c>
      <c r="E121" s="113" t="s">
        <v>1116</v>
      </c>
    </row>
    <row r="122" spans="1:5" ht="15" customHeight="1" x14ac:dyDescent="0.25">
      <c r="A122" s="113" t="s">
        <v>512</v>
      </c>
      <c r="B122" s="113" t="s">
        <v>206</v>
      </c>
      <c r="C122" s="113" t="s">
        <v>1017</v>
      </c>
      <c r="D122" s="113" t="s">
        <v>1018</v>
      </c>
      <c r="E122" s="113" t="s">
        <v>1106</v>
      </c>
    </row>
    <row r="123" spans="1:5" ht="15" customHeight="1" x14ac:dyDescent="0.25">
      <c r="A123" s="113" t="s">
        <v>512</v>
      </c>
      <c r="B123" s="113" t="s">
        <v>206</v>
      </c>
      <c r="C123" s="113" t="s">
        <v>1017</v>
      </c>
      <c r="D123" s="113" t="s">
        <v>1018</v>
      </c>
      <c r="E123" s="113" t="s">
        <v>1107</v>
      </c>
    </row>
    <row r="124" spans="1:5" ht="25.5" customHeight="1" x14ac:dyDescent="0.25">
      <c r="A124" s="113" t="s">
        <v>512</v>
      </c>
      <c r="B124" s="113" t="s">
        <v>206</v>
      </c>
      <c r="C124" s="113" t="s">
        <v>1017</v>
      </c>
      <c r="D124" s="113" t="s">
        <v>78</v>
      </c>
      <c r="E124" s="113" t="s">
        <v>1117</v>
      </c>
    </row>
    <row r="125" spans="1:5" ht="25.5" customHeight="1" x14ac:dyDescent="0.25">
      <c r="A125" s="113" t="s">
        <v>605</v>
      </c>
      <c r="B125" s="113" t="s">
        <v>331</v>
      </c>
      <c r="C125" s="113" t="s">
        <v>1017</v>
      </c>
      <c r="D125" s="113" t="s">
        <v>1018</v>
      </c>
      <c r="E125" s="113" t="s">
        <v>1019</v>
      </c>
    </row>
    <row r="126" spans="1:5" ht="25.5" customHeight="1" x14ac:dyDescent="0.25">
      <c r="A126" s="113" t="s">
        <v>605</v>
      </c>
      <c r="B126" s="113" t="s">
        <v>331</v>
      </c>
      <c r="C126" s="113" t="s">
        <v>1017</v>
      </c>
      <c r="D126" s="113" t="s">
        <v>78</v>
      </c>
      <c r="E126" s="113" t="s">
        <v>1118</v>
      </c>
    </row>
    <row r="127" spans="1:5" ht="25.5" customHeight="1" x14ac:dyDescent="0.25">
      <c r="A127" s="113" t="s">
        <v>605</v>
      </c>
      <c r="B127" s="113" t="s">
        <v>331</v>
      </c>
      <c r="C127" s="113" t="s">
        <v>1021</v>
      </c>
      <c r="D127" s="113" t="s">
        <v>1021</v>
      </c>
      <c r="E127" s="113" t="s">
        <v>1054</v>
      </c>
    </row>
    <row r="128" spans="1:5" ht="25.5" customHeight="1" x14ac:dyDescent="0.25">
      <c r="A128" s="113" t="s">
        <v>605</v>
      </c>
      <c r="B128" s="113" t="s">
        <v>331</v>
      </c>
      <c r="C128" s="113" t="s">
        <v>1017</v>
      </c>
      <c r="D128" s="113" t="s">
        <v>1024</v>
      </c>
      <c r="E128" s="113" t="s">
        <v>1025</v>
      </c>
    </row>
    <row r="129" spans="1:5" ht="25.5" customHeight="1" x14ac:dyDescent="0.25">
      <c r="A129" s="113" t="s">
        <v>605</v>
      </c>
      <c r="B129" s="113" t="s">
        <v>331</v>
      </c>
      <c r="C129" s="114" t="s">
        <v>1026</v>
      </c>
      <c r="D129" s="113" t="s">
        <v>1027</v>
      </c>
      <c r="E129" s="113" t="s">
        <v>1119</v>
      </c>
    </row>
    <row r="130" spans="1:5" ht="15" customHeight="1" x14ac:dyDescent="0.25">
      <c r="A130" s="113" t="s">
        <v>241</v>
      </c>
      <c r="B130" s="113" t="s">
        <v>241</v>
      </c>
      <c r="C130" s="113" t="s">
        <v>1017</v>
      </c>
      <c r="D130" s="113" t="s">
        <v>1043</v>
      </c>
      <c r="E130" s="113" t="s">
        <v>1044</v>
      </c>
    </row>
    <row r="131" spans="1:5" ht="15" customHeight="1" x14ac:dyDescent="0.25">
      <c r="A131" s="113" t="s">
        <v>241</v>
      </c>
      <c r="B131" s="113" t="s">
        <v>241</v>
      </c>
      <c r="C131" s="113" t="s">
        <v>1017</v>
      </c>
      <c r="D131" s="113" t="s">
        <v>1018</v>
      </c>
      <c r="E131" s="113" t="s">
        <v>1093</v>
      </c>
    </row>
    <row r="132" spans="1:5" ht="15" customHeight="1" x14ac:dyDescent="0.25">
      <c r="A132" s="113" t="s">
        <v>241</v>
      </c>
      <c r="B132" s="113" t="s">
        <v>241</v>
      </c>
      <c r="C132" s="113" t="s">
        <v>1017</v>
      </c>
      <c r="D132" s="113" t="s">
        <v>78</v>
      </c>
      <c r="E132" s="113" t="s">
        <v>1120</v>
      </c>
    </row>
    <row r="133" spans="1:5" ht="15" customHeight="1" x14ac:dyDescent="0.25">
      <c r="A133" s="113" t="s">
        <v>241</v>
      </c>
      <c r="B133" s="113" t="s">
        <v>241</v>
      </c>
      <c r="C133" s="114" t="s">
        <v>1026</v>
      </c>
      <c r="D133" s="113" t="s">
        <v>1027</v>
      </c>
      <c r="E133" s="113" t="s">
        <v>1121</v>
      </c>
    </row>
    <row r="134" spans="1:5" ht="15" customHeight="1" x14ac:dyDescent="0.25">
      <c r="A134" s="113" t="s">
        <v>241</v>
      </c>
      <c r="B134" s="113" t="s">
        <v>241</v>
      </c>
      <c r="C134" s="114" t="s">
        <v>1026</v>
      </c>
      <c r="D134" s="113" t="s">
        <v>1027</v>
      </c>
      <c r="E134" s="113" t="s">
        <v>1122</v>
      </c>
    </row>
    <row r="135" spans="1:5" ht="25.5" customHeight="1" x14ac:dyDescent="0.25">
      <c r="A135" s="113" t="s">
        <v>597</v>
      </c>
      <c r="B135" s="113" t="s">
        <v>322</v>
      </c>
      <c r="C135" s="113" t="s">
        <v>1017</v>
      </c>
      <c r="D135" s="113" t="s">
        <v>1018</v>
      </c>
      <c r="E135" s="113" t="s">
        <v>1019</v>
      </c>
    </row>
    <row r="136" spans="1:5" ht="25.5" customHeight="1" x14ac:dyDescent="0.25">
      <c r="A136" s="113" t="s">
        <v>597</v>
      </c>
      <c r="B136" s="113" t="s">
        <v>322</v>
      </c>
      <c r="C136" s="114" t="s">
        <v>1026</v>
      </c>
      <c r="D136" s="113" t="s">
        <v>1089</v>
      </c>
      <c r="E136" s="113" t="s">
        <v>1123</v>
      </c>
    </row>
    <row r="137" spans="1:5" ht="25.5" customHeight="1" x14ac:dyDescent="0.25">
      <c r="A137" s="113" t="s">
        <v>597</v>
      </c>
      <c r="B137" s="113" t="s">
        <v>322</v>
      </c>
      <c r="C137" s="114" t="s">
        <v>1026</v>
      </c>
      <c r="D137" s="113" t="s">
        <v>1027</v>
      </c>
      <c r="E137" s="113" t="s">
        <v>1124</v>
      </c>
    </row>
    <row r="138" spans="1:5" ht="25.5" customHeight="1" x14ac:dyDescent="0.25">
      <c r="A138" s="113" t="s">
        <v>597</v>
      </c>
      <c r="B138" s="113" t="s">
        <v>322</v>
      </c>
      <c r="C138" s="113" t="s">
        <v>1021</v>
      </c>
      <c r="D138" s="113" t="s">
        <v>1021</v>
      </c>
      <c r="E138" s="113" t="s">
        <v>1054</v>
      </c>
    </row>
    <row r="139" spans="1:5" ht="25.5" customHeight="1" x14ac:dyDescent="0.25">
      <c r="A139" s="113" t="s">
        <v>597</v>
      </c>
      <c r="B139" s="113" t="s">
        <v>322</v>
      </c>
      <c r="C139" s="113" t="s">
        <v>1017</v>
      </c>
      <c r="D139" s="113" t="s">
        <v>1024</v>
      </c>
      <c r="E139" s="113" t="s">
        <v>1025</v>
      </c>
    </row>
    <row r="140" spans="1:5" ht="15" customHeight="1" x14ac:dyDescent="0.25">
      <c r="A140" s="113" t="s">
        <v>510</v>
      </c>
      <c r="B140" s="113" t="s">
        <v>203</v>
      </c>
      <c r="C140" s="113" t="s">
        <v>1017</v>
      </c>
      <c r="D140" s="113" t="s">
        <v>78</v>
      </c>
      <c r="E140" s="113" t="s">
        <v>1125</v>
      </c>
    </row>
    <row r="141" spans="1:5" ht="15" customHeight="1" x14ac:dyDescent="0.25">
      <c r="A141" s="113" t="s">
        <v>510</v>
      </c>
      <c r="B141" s="113" t="s">
        <v>203</v>
      </c>
      <c r="C141" s="113" t="s">
        <v>1021</v>
      </c>
      <c r="D141" s="113" t="s">
        <v>1021</v>
      </c>
      <c r="E141" s="113" t="s">
        <v>1126</v>
      </c>
    </row>
    <row r="142" spans="1:5" ht="15" customHeight="1" x14ac:dyDescent="0.25">
      <c r="A142" s="113" t="s">
        <v>510</v>
      </c>
      <c r="B142" s="113" t="s">
        <v>203</v>
      </c>
      <c r="C142" s="113" t="s">
        <v>1017</v>
      </c>
      <c r="D142" s="113" t="s">
        <v>78</v>
      </c>
      <c r="E142" s="113" t="s">
        <v>1127</v>
      </c>
    </row>
    <row r="143" spans="1:5" ht="15" customHeight="1" x14ac:dyDescent="0.25">
      <c r="A143" s="113" t="s">
        <v>510</v>
      </c>
      <c r="B143" s="113" t="s">
        <v>203</v>
      </c>
      <c r="C143" s="113" t="s">
        <v>1017</v>
      </c>
      <c r="D143" s="113" t="s">
        <v>1024</v>
      </c>
      <c r="E143" s="113" t="s">
        <v>1025</v>
      </c>
    </row>
    <row r="144" spans="1:5" ht="15" customHeight="1" x14ac:dyDescent="0.25">
      <c r="A144" s="113" t="s">
        <v>510</v>
      </c>
      <c r="B144" s="113" t="s">
        <v>203</v>
      </c>
      <c r="C144" s="114" t="s">
        <v>1026</v>
      </c>
      <c r="D144" s="113" t="s">
        <v>1027</v>
      </c>
      <c r="E144" s="113" t="s">
        <v>1128</v>
      </c>
    </row>
    <row r="145" spans="1:5" ht="25.5" customHeight="1" x14ac:dyDescent="0.25">
      <c r="A145" s="113" t="s">
        <v>510</v>
      </c>
      <c r="B145" s="113" t="s">
        <v>203</v>
      </c>
      <c r="C145" s="113" t="s">
        <v>1017</v>
      </c>
      <c r="D145" s="113" t="s">
        <v>78</v>
      </c>
      <c r="E145" s="113" t="s">
        <v>1129</v>
      </c>
    </row>
    <row r="146" spans="1:5" ht="15" customHeight="1" x14ac:dyDescent="0.25">
      <c r="A146" s="113" t="s">
        <v>532</v>
      </c>
      <c r="B146" s="113" t="s">
        <v>228</v>
      </c>
      <c r="C146" s="113" t="s">
        <v>1017</v>
      </c>
      <c r="D146" s="113" t="s">
        <v>1043</v>
      </c>
      <c r="E146" s="113" t="s">
        <v>1044</v>
      </c>
    </row>
    <row r="147" spans="1:5" ht="15" customHeight="1" x14ac:dyDescent="0.25">
      <c r="A147" s="113" t="s">
        <v>532</v>
      </c>
      <c r="B147" s="113" t="s">
        <v>228</v>
      </c>
      <c r="C147" s="113" t="s">
        <v>1017</v>
      </c>
      <c r="D147" s="113" t="s">
        <v>78</v>
      </c>
      <c r="E147" s="113" t="s">
        <v>1130</v>
      </c>
    </row>
    <row r="148" spans="1:5" ht="15" customHeight="1" x14ac:dyDescent="0.25">
      <c r="A148" s="113" t="s">
        <v>532</v>
      </c>
      <c r="B148" s="113" t="s">
        <v>228</v>
      </c>
      <c r="C148" s="114" t="s">
        <v>1026</v>
      </c>
      <c r="D148" s="113" t="s">
        <v>1027</v>
      </c>
      <c r="E148" s="113" t="s">
        <v>1131</v>
      </c>
    </row>
    <row r="149" spans="1:5" ht="15" customHeight="1" x14ac:dyDescent="0.25">
      <c r="A149" s="113" t="s">
        <v>348</v>
      </c>
      <c r="B149" s="113" t="s">
        <v>348</v>
      </c>
      <c r="C149" s="113" t="s">
        <v>1017</v>
      </c>
      <c r="D149" s="113" t="s">
        <v>1018</v>
      </c>
      <c r="E149" s="113" t="s">
        <v>1019</v>
      </c>
    </row>
    <row r="150" spans="1:5" ht="15" customHeight="1" x14ac:dyDescent="0.25">
      <c r="A150" s="113" t="s">
        <v>348</v>
      </c>
      <c r="B150" s="113" t="s">
        <v>348</v>
      </c>
      <c r="C150" s="114" t="s">
        <v>1026</v>
      </c>
      <c r="D150" s="113" t="s">
        <v>1089</v>
      </c>
      <c r="E150" s="113" t="s">
        <v>1132</v>
      </c>
    </row>
    <row r="151" spans="1:5" ht="15" customHeight="1" x14ac:dyDescent="0.25">
      <c r="A151" s="113" t="s">
        <v>348</v>
      </c>
      <c r="B151" s="113" t="s">
        <v>348</v>
      </c>
      <c r="C151" s="114" t="s">
        <v>1026</v>
      </c>
      <c r="D151" s="113" t="s">
        <v>1027</v>
      </c>
      <c r="E151" s="113" t="s">
        <v>1133</v>
      </c>
    </row>
    <row r="152" spans="1:5" ht="15" customHeight="1" x14ac:dyDescent="0.25">
      <c r="A152" s="113" t="s">
        <v>348</v>
      </c>
      <c r="B152" s="113" t="s">
        <v>348</v>
      </c>
      <c r="C152" s="113" t="s">
        <v>1021</v>
      </c>
      <c r="D152" s="113" t="s">
        <v>1021</v>
      </c>
      <c r="E152" s="113" t="s">
        <v>1134</v>
      </c>
    </row>
    <row r="153" spans="1:5" ht="15" customHeight="1" x14ac:dyDescent="0.25">
      <c r="A153" s="113" t="s">
        <v>348</v>
      </c>
      <c r="B153" s="113" t="s">
        <v>348</v>
      </c>
      <c r="C153" s="113" t="s">
        <v>1017</v>
      </c>
      <c r="D153" s="113" t="s">
        <v>1024</v>
      </c>
      <c r="E153" s="113" t="s">
        <v>1025</v>
      </c>
    </row>
    <row r="154" spans="1:5" ht="15" customHeight="1" x14ac:dyDescent="0.25">
      <c r="A154" s="113" t="s">
        <v>558</v>
      </c>
      <c r="B154" s="113" t="s">
        <v>266</v>
      </c>
      <c r="C154" s="113" t="s">
        <v>1017</v>
      </c>
      <c r="D154" s="113" t="s">
        <v>1043</v>
      </c>
      <c r="E154" s="113" t="s">
        <v>1044</v>
      </c>
    </row>
    <row r="155" spans="1:5" ht="15" customHeight="1" x14ac:dyDescent="0.25">
      <c r="A155" s="113" t="s">
        <v>558</v>
      </c>
      <c r="B155" s="113" t="s">
        <v>266</v>
      </c>
      <c r="C155" s="113" t="s">
        <v>1017</v>
      </c>
      <c r="D155" s="113" t="s">
        <v>78</v>
      </c>
      <c r="E155" s="113" t="s">
        <v>1135</v>
      </c>
    </row>
    <row r="156" spans="1:5" ht="15" customHeight="1" x14ac:dyDescent="0.25">
      <c r="A156" s="113" t="s">
        <v>558</v>
      </c>
      <c r="B156" s="113" t="s">
        <v>266</v>
      </c>
      <c r="C156" s="114" t="s">
        <v>1026</v>
      </c>
      <c r="D156" s="113" t="s">
        <v>1027</v>
      </c>
      <c r="E156" s="113" t="s">
        <v>1136</v>
      </c>
    </row>
    <row r="157" spans="1:5" ht="15" customHeight="1" x14ac:dyDescent="0.25">
      <c r="A157" s="113" t="s">
        <v>527</v>
      </c>
      <c r="B157" s="113" t="s">
        <v>222</v>
      </c>
      <c r="C157" s="113" t="s">
        <v>1017</v>
      </c>
      <c r="D157" s="113" t="s">
        <v>1018</v>
      </c>
      <c r="E157" s="113" t="s">
        <v>1019</v>
      </c>
    </row>
    <row r="158" spans="1:5" ht="15" customHeight="1" x14ac:dyDescent="0.25">
      <c r="A158" s="113" t="s">
        <v>527</v>
      </c>
      <c r="B158" s="113" t="s">
        <v>222</v>
      </c>
      <c r="C158" s="113" t="s">
        <v>1017</v>
      </c>
      <c r="D158" s="113" t="s">
        <v>78</v>
      </c>
      <c r="E158" s="113" t="s">
        <v>1137</v>
      </c>
    </row>
    <row r="159" spans="1:5" ht="15" customHeight="1" x14ac:dyDescent="0.25">
      <c r="A159" s="113" t="s">
        <v>527</v>
      </c>
      <c r="B159" s="113" t="s">
        <v>222</v>
      </c>
      <c r="C159" s="113" t="s">
        <v>1021</v>
      </c>
      <c r="D159" s="113" t="s">
        <v>1021</v>
      </c>
      <c r="E159" s="113" t="s">
        <v>1138</v>
      </c>
    </row>
    <row r="160" spans="1:5" ht="15" customHeight="1" x14ac:dyDescent="0.25">
      <c r="A160" s="113" t="s">
        <v>527</v>
      </c>
      <c r="B160" s="113" t="s">
        <v>222</v>
      </c>
      <c r="C160" s="114" t="s">
        <v>1026</v>
      </c>
      <c r="D160" s="113" t="s">
        <v>1027</v>
      </c>
      <c r="E160" s="113" t="s">
        <v>1139</v>
      </c>
    </row>
    <row r="161" spans="1:5" ht="25.5" customHeight="1" x14ac:dyDescent="0.25">
      <c r="A161" s="113" t="s">
        <v>514</v>
      </c>
      <c r="B161" s="113" t="s">
        <v>208</v>
      </c>
      <c r="C161" s="113" t="s">
        <v>1017</v>
      </c>
      <c r="D161" s="113" t="s">
        <v>1043</v>
      </c>
      <c r="E161" s="113" t="s">
        <v>1044</v>
      </c>
    </row>
    <row r="162" spans="1:5" ht="25.5" customHeight="1" x14ac:dyDescent="0.25">
      <c r="A162" s="113" t="s">
        <v>514</v>
      </c>
      <c r="B162" s="113" t="s">
        <v>208</v>
      </c>
      <c r="C162" s="113" t="s">
        <v>1017</v>
      </c>
      <c r="D162" s="113" t="s">
        <v>78</v>
      </c>
      <c r="E162" s="113" t="s">
        <v>1140</v>
      </c>
    </row>
    <row r="163" spans="1:5" ht="25.5" customHeight="1" x14ac:dyDescent="0.25">
      <c r="A163" s="113" t="s">
        <v>514</v>
      </c>
      <c r="B163" s="113" t="s">
        <v>208</v>
      </c>
      <c r="C163" s="114" t="s">
        <v>1026</v>
      </c>
      <c r="D163" s="113" t="s">
        <v>1027</v>
      </c>
      <c r="E163" s="113" t="s">
        <v>1136</v>
      </c>
    </row>
    <row r="164" spans="1:5" ht="15" customHeight="1" x14ac:dyDescent="0.25">
      <c r="A164" s="113" t="s">
        <v>534</v>
      </c>
      <c r="B164" s="113" t="s">
        <v>230</v>
      </c>
      <c r="C164" s="113" t="s">
        <v>1017</v>
      </c>
      <c r="D164" s="113" t="s">
        <v>1043</v>
      </c>
      <c r="E164" s="113" t="s">
        <v>1044</v>
      </c>
    </row>
    <row r="165" spans="1:5" ht="15" customHeight="1" x14ac:dyDescent="0.25">
      <c r="A165" s="113" t="s">
        <v>534</v>
      </c>
      <c r="B165" s="113" t="s">
        <v>230</v>
      </c>
      <c r="C165" s="113" t="s">
        <v>1017</v>
      </c>
      <c r="D165" s="113" t="s">
        <v>78</v>
      </c>
      <c r="E165" s="113" t="s">
        <v>1141</v>
      </c>
    </row>
    <row r="166" spans="1:5" ht="15" customHeight="1" x14ac:dyDescent="0.25">
      <c r="A166" s="113" t="s">
        <v>534</v>
      </c>
      <c r="B166" s="113" t="s">
        <v>230</v>
      </c>
      <c r="C166" s="114" t="s">
        <v>1026</v>
      </c>
      <c r="D166" s="113" t="s">
        <v>1027</v>
      </c>
      <c r="E166" s="113" t="s">
        <v>1142</v>
      </c>
    </row>
    <row r="167" spans="1:5" ht="15" customHeight="1" x14ac:dyDescent="0.25">
      <c r="A167" s="113" t="s">
        <v>524</v>
      </c>
      <c r="B167" s="113" t="s">
        <v>219</v>
      </c>
      <c r="C167" s="113" t="s">
        <v>1017</v>
      </c>
      <c r="D167" s="113" t="s">
        <v>1043</v>
      </c>
      <c r="E167" s="113" t="s">
        <v>1044</v>
      </c>
    </row>
    <row r="168" spans="1:5" ht="15" customHeight="1" x14ac:dyDescent="0.25">
      <c r="A168" s="113" t="s">
        <v>524</v>
      </c>
      <c r="B168" s="113" t="s">
        <v>219</v>
      </c>
      <c r="C168" s="113" t="s">
        <v>1017</v>
      </c>
      <c r="D168" s="113" t="s">
        <v>78</v>
      </c>
      <c r="E168" s="113" t="s">
        <v>1143</v>
      </c>
    </row>
    <row r="169" spans="1:5" ht="15" customHeight="1" x14ac:dyDescent="0.25">
      <c r="A169" s="113" t="s">
        <v>524</v>
      </c>
      <c r="B169" s="113" t="s">
        <v>219</v>
      </c>
      <c r="C169" s="114" t="s">
        <v>1026</v>
      </c>
      <c r="D169" s="113" t="s">
        <v>1027</v>
      </c>
      <c r="E169" s="113" t="s">
        <v>1144</v>
      </c>
    </row>
    <row r="170" spans="1:5" ht="15" customHeight="1" x14ac:dyDescent="0.25">
      <c r="A170" s="113" t="s">
        <v>531</v>
      </c>
      <c r="B170" s="113" t="s">
        <v>226</v>
      </c>
      <c r="C170" s="113" t="s">
        <v>1017</v>
      </c>
      <c r="D170" s="113" t="s">
        <v>1018</v>
      </c>
      <c r="E170" s="113" t="s">
        <v>1106</v>
      </c>
    </row>
    <row r="171" spans="1:5" ht="15" customHeight="1" x14ac:dyDescent="0.25">
      <c r="A171" s="113" t="s">
        <v>531</v>
      </c>
      <c r="B171" s="113" t="s">
        <v>226</v>
      </c>
      <c r="C171" s="113" t="s">
        <v>1017</v>
      </c>
      <c r="D171" s="113" t="s">
        <v>1018</v>
      </c>
      <c r="E171" s="113" t="s">
        <v>1107</v>
      </c>
    </row>
    <row r="172" spans="1:5" ht="15" customHeight="1" x14ac:dyDescent="0.25">
      <c r="A172" s="113" t="s">
        <v>568</v>
      </c>
      <c r="B172" s="113" t="s">
        <v>281</v>
      </c>
      <c r="C172" s="113" t="s">
        <v>1017</v>
      </c>
      <c r="D172" s="113" t="s">
        <v>1043</v>
      </c>
      <c r="E172" s="113" t="s">
        <v>1044</v>
      </c>
    </row>
    <row r="173" spans="1:5" ht="15" customHeight="1" x14ac:dyDescent="0.25">
      <c r="A173" s="113" t="s">
        <v>568</v>
      </c>
      <c r="B173" s="113" t="s">
        <v>281</v>
      </c>
      <c r="C173" s="113" t="s">
        <v>1017</v>
      </c>
      <c r="D173" s="113" t="s">
        <v>1018</v>
      </c>
      <c r="E173" s="113" t="s">
        <v>1093</v>
      </c>
    </row>
    <row r="174" spans="1:5" ht="15" customHeight="1" x14ac:dyDescent="0.25">
      <c r="A174" s="113" t="s">
        <v>568</v>
      </c>
      <c r="B174" s="113" t="s">
        <v>281</v>
      </c>
      <c r="C174" s="113" t="s">
        <v>1017</v>
      </c>
      <c r="D174" s="113" t="s">
        <v>78</v>
      </c>
      <c r="E174" s="113" t="s">
        <v>1145</v>
      </c>
    </row>
    <row r="175" spans="1:5" ht="15" customHeight="1" x14ac:dyDescent="0.25">
      <c r="A175" s="113" t="s">
        <v>568</v>
      </c>
      <c r="B175" s="113" t="s">
        <v>281</v>
      </c>
      <c r="C175" s="113" t="s">
        <v>1017</v>
      </c>
      <c r="D175" s="113" t="s">
        <v>1018</v>
      </c>
      <c r="E175" s="113" t="s">
        <v>1047</v>
      </c>
    </row>
    <row r="176" spans="1:5" ht="15" customHeight="1" x14ac:dyDescent="0.25">
      <c r="A176" s="113" t="s">
        <v>568</v>
      </c>
      <c r="B176" s="113" t="s">
        <v>281</v>
      </c>
      <c r="C176" s="114" t="s">
        <v>1026</v>
      </c>
      <c r="D176" s="113" t="s">
        <v>1027</v>
      </c>
      <c r="E176" s="113" t="s">
        <v>1146</v>
      </c>
    </row>
    <row r="177" spans="1:5" ht="15" customHeight="1" x14ac:dyDescent="0.25">
      <c r="A177" s="113" t="s">
        <v>457</v>
      </c>
      <c r="B177" s="113" t="s">
        <v>121</v>
      </c>
      <c r="C177" s="113" t="s">
        <v>1017</v>
      </c>
      <c r="D177" s="113" t="s">
        <v>1043</v>
      </c>
      <c r="E177" s="113" t="s">
        <v>1044</v>
      </c>
    </row>
    <row r="178" spans="1:5" ht="15" customHeight="1" x14ac:dyDescent="0.25">
      <c r="A178" s="113" t="s">
        <v>457</v>
      </c>
      <c r="B178" s="113" t="s">
        <v>121</v>
      </c>
      <c r="C178" s="113" t="s">
        <v>1017</v>
      </c>
      <c r="D178" s="113" t="s">
        <v>78</v>
      </c>
      <c r="E178" s="113" t="s">
        <v>1147</v>
      </c>
    </row>
    <row r="179" spans="1:5" ht="15" customHeight="1" x14ac:dyDescent="0.25">
      <c r="A179" s="113" t="s">
        <v>457</v>
      </c>
      <c r="B179" s="113" t="s">
        <v>121</v>
      </c>
      <c r="C179" s="114" t="s">
        <v>1026</v>
      </c>
      <c r="D179" s="113" t="s">
        <v>1027</v>
      </c>
      <c r="E179" s="113" t="s">
        <v>1148</v>
      </c>
    </row>
    <row r="180" spans="1:5" ht="25.5" customHeight="1" x14ac:dyDescent="0.25">
      <c r="A180" s="113" t="s">
        <v>567</v>
      </c>
      <c r="B180" s="113" t="s">
        <v>279</v>
      </c>
      <c r="C180" s="113" t="s">
        <v>1017</v>
      </c>
      <c r="D180" s="113" t="s">
        <v>1043</v>
      </c>
      <c r="E180" s="113" t="s">
        <v>1044</v>
      </c>
    </row>
    <row r="181" spans="1:5" ht="25.5" customHeight="1" x14ac:dyDescent="0.25">
      <c r="A181" s="113" t="s">
        <v>567</v>
      </c>
      <c r="B181" s="113" t="s">
        <v>279</v>
      </c>
      <c r="C181" s="113" t="s">
        <v>1017</v>
      </c>
      <c r="D181" s="113" t="s">
        <v>1018</v>
      </c>
      <c r="E181" s="113" t="s">
        <v>1093</v>
      </c>
    </row>
    <row r="182" spans="1:5" ht="25.5" customHeight="1" x14ac:dyDescent="0.25">
      <c r="A182" s="113" t="s">
        <v>567</v>
      </c>
      <c r="B182" s="113" t="s">
        <v>279</v>
      </c>
      <c r="C182" s="113" t="s">
        <v>1017</v>
      </c>
      <c r="D182" s="113" t="s">
        <v>78</v>
      </c>
      <c r="E182" s="113" t="s">
        <v>1149</v>
      </c>
    </row>
    <row r="183" spans="1:5" ht="25.5" customHeight="1" x14ac:dyDescent="0.25">
      <c r="A183" s="113" t="s">
        <v>567</v>
      </c>
      <c r="B183" s="113" t="s">
        <v>279</v>
      </c>
      <c r="C183" s="114" t="s">
        <v>1026</v>
      </c>
      <c r="D183" s="113" t="s">
        <v>1027</v>
      </c>
      <c r="E183" s="113" t="s">
        <v>1146</v>
      </c>
    </row>
    <row r="184" spans="1:5" ht="25.5" customHeight="1" x14ac:dyDescent="0.25">
      <c r="A184" s="113" t="s">
        <v>542</v>
      </c>
      <c r="B184" s="113" t="s">
        <v>242</v>
      </c>
      <c r="C184" s="113" t="s">
        <v>1017</v>
      </c>
      <c r="D184" s="113" t="s">
        <v>78</v>
      </c>
      <c r="E184" s="113" t="s">
        <v>1150</v>
      </c>
    </row>
    <row r="185" spans="1:5" ht="25.5" customHeight="1" x14ac:dyDescent="0.25">
      <c r="A185" s="113" t="s">
        <v>542</v>
      </c>
      <c r="B185" s="113" t="s">
        <v>242</v>
      </c>
      <c r="C185" s="113" t="s">
        <v>1021</v>
      </c>
      <c r="D185" s="113" t="s">
        <v>1021</v>
      </c>
      <c r="E185" s="113" t="s">
        <v>1067</v>
      </c>
    </row>
    <row r="186" spans="1:5" ht="25.5" customHeight="1" x14ac:dyDescent="0.25">
      <c r="A186" s="113" t="s">
        <v>542</v>
      </c>
      <c r="B186" s="113" t="s">
        <v>242</v>
      </c>
      <c r="C186" s="113" t="s">
        <v>1017</v>
      </c>
      <c r="D186" s="113" t="s">
        <v>1024</v>
      </c>
      <c r="E186" s="113" t="s">
        <v>1025</v>
      </c>
    </row>
    <row r="187" spans="1:5" ht="25.5" customHeight="1" x14ac:dyDescent="0.25">
      <c r="A187" s="113" t="s">
        <v>542</v>
      </c>
      <c r="B187" s="113" t="s">
        <v>242</v>
      </c>
      <c r="C187" s="114" t="s">
        <v>1026</v>
      </c>
      <c r="D187" s="113" t="s">
        <v>1027</v>
      </c>
      <c r="E187" s="113" t="s">
        <v>1151</v>
      </c>
    </row>
    <row r="188" spans="1:5" ht="25.5" customHeight="1" x14ac:dyDescent="0.25">
      <c r="A188" s="113" t="s">
        <v>543</v>
      </c>
      <c r="B188" s="113" t="s">
        <v>244</v>
      </c>
      <c r="C188" s="113" t="s">
        <v>1017</v>
      </c>
      <c r="D188" s="113" t="s">
        <v>78</v>
      </c>
      <c r="E188" s="113" t="s">
        <v>1150</v>
      </c>
    </row>
    <row r="189" spans="1:5" ht="25.5" customHeight="1" x14ac:dyDescent="0.25">
      <c r="A189" s="113" t="s">
        <v>543</v>
      </c>
      <c r="B189" s="113" t="s">
        <v>244</v>
      </c>
      <c r="C189" s="113" t="s">
        <v>1021</v>
      </c>
      <c r="D189" s="113" t="s">
        <v>1021</v>
      </c>
      <c r="E189" s="113" t="s">
        <v>1067</v>
      </c>
    </row>
    <row r="190" spans="1:5" ht="25.5" customHeight="1" x14ac:dyDescent="0.25">
      <c r="A190" s="113" t="s">
        <v>543</v>
      </c>
      <c r="B190" s="113" t="s">
        <v>244</v>
      </c>
      <c r="C190" s="113" t="s">
        <v>1017</v>
      </c>
      <c r="D190" s="113" t="s">
        <v>1024</v>
      </c>
      <c r="E190" s="113" t="s">
        <v>1025</v>
      </c>
    </row>
    <row r="191" spans="1:5" ht="25.5" customHeight="1" x14ac:dyDescent="0.25">
      <c r="A191" s="113" t="s">
        <v>543</v>
      </c>
      <c r="B191" s="113" t="s">
        <v>244</v>
      </c>
      <c r="C191" s="114" t="s">
        <v>1026</v>
      </c>
      <c r="D191" s="113" t="s">
        <v>1027</v>
      </c>
      <c r="E191" s="113" t="s">
        <v>1151</v>
      </c>
    </row>
    <row r="192" spans="1:5" ht="15" customHeight="1" x14ac:dyDescent="0.25">
      <c r="A192" s="113" t="s">
        <v>463</v>
      </c>
      <c r="B192" s="113" t="s">
        <v>135</v>
      </c>
      <c r="C192" s="113" t="s">
        <v>1017</v>
      </c>
      <c r="D192" s="113" t="s">
        <v>1018</v>
      </c>
      <c r="E192" s="113" t="s">
        <v>1152</v>
      </c>
    </row>
    <row r="193" spans="1:5" ht="25.5" customHeight="1" x14ac:dyDescent="0.25">
      <c r="A193" s="113" t="s">
        <v>463</v>
      </c>
      <c r="B193" s="113" t="s">
        <v>135</v>
      </c>
      <c r="C193" s="114" t="s">
        <v>1026</v>
      </c>
      <c r="D193" s="113" t="s">
        <v>1089</v>
      </c>
      <c r="E193" s="113" t="s">
        <v>1153</v>
      </c>
    </row>
    <row r="194" spans="1:5" ht="15" customHeight="1" x14ac:dyDescent="0.25">
      <c r="A194" s="113" t="s">
        <v>463</v>
      </c>
      <c r="B194" s="113" t="s">
        <v>135</v>
      </c>
      <c r="C194" s="113" t="s">
        <v>1017</v>
      </c>
      <c r="D194" s="113" t="s">
        <v>1018</v>
      </c>
      <c r="E194" s="113" t="s">
        <v>1107</v>
      </c>
    </row>
    <row r="195" spans="1:5" ht="25.5" customHeight="1" x14ac:dyDescent="0.25">
      <c r="A195" s="113" t="s">
        <v>463</v>
      </c>
      <c r="B195" s="113" t="s">
        <v>135</v>
      </c>
      <c r="C195" s="113" t="s">
        <v>1017</v>
      </c>
      <c r="D195" s="113" t="s">
        <v>78</v>
      </c>
      <c r="E195" s="113" t="s">
        <v>1154</v>
      </c>
    </row>
    <row r="196" spans="1:5" ht="15" customHeight="1" x14ac:dyDescent="0.25">
      <c r="A196" s="113" t="s">
        <v>446</v>
      </c>
      <c r="B196" s="113" t="s">
        <v>106</v>
      </c>
      <c r="C196" s="113" t="s">
        <v>1017</v>
      </c>
      <c r="D196" s="113" t="s">
        <v>1043</v>
      </c>
      <c r="E196" s="113" t="s">
        <v>1044</v>
      </c>
    </row>
    <row r="197" spans="1:5" ht="15" customHeight="1" x14ac:dyDescent="0.25">
      <c r="A197" s="113" t="s">
        <v>446</v>
      </c>
      <c r="B197" s="113" t="s">
        <v>106</v>
      </c>
      <c r="C197" s="113" t="s">
        <v>1017</v>
      </c>
      <c r="D197" s="113" t="s">
        <v>78</v>
      </c>
      <c r="E197" s="113" t="s">
        <v>1155</v>
      </c>
    </row>
    <row r="198" spans="1:5" ht="15" customHeight="1" x14ac:dyDescent="0.25">
      <c r="A198" s="113" t="s">
        <v>446</v>
      </c>
      <c r="B198" s="113" t="s">
        <v>106</v>
      </c>
      <c r="C198" s="114" t="s">
        <v>1026</v>
      </c>
      <c r="D198" s="113" t="s">
        <v>1027</v>
      </c>
      <c r="E198" s="113" t="s">
        <v>1156</v>
      </c>
    </row>
    <row r="199" spans="1:5" ht="15" customHeight="1" x14ac:dyDescent="0.25">
      <c r="A199" s="113" t="s">
        <v>441</v>
      </c>
      <c r="B199" s="113" t="s">
        <v>89</v>
      </c>
      <c r="C199" s="113" t="s">
        <v>1017</v>
      </c>
      <c r="D199" s="113" t="s">
        <v>1043</v>
      </c>
      <c r="E199" s="113" t="s">
        <v>1044</v>
      </c>
    </row>
    <row r="200" spans="1:5" ht="15" customHeight="1" x14ac:dyDescent="0.25">
      <c r="A200" s="113" t="s">
        <v>441</v>
      </c>
      <c r="B200" s="113" t="s">
        <v>89</v>
      </c>
      <c r="C200" s="113" t="s">
        <v>1017</v>
      </c>
      <c r="D200" s="113" t="s">
        <v>78</v>
      </c>
      <c r="E200" s="113" t="s">
        <v>1157</v>
      </c>
    </row>
    <row r="201" spans="1:5" ht="15" customHeight="1" x14ac:dyDescent="0.25">
      <c r="A201" s="113" t="s">
        <v>441</v>
      </c>
      <c r="B201" s="113" t="s">
        <v>89</v>
      </c>
      <c r="C201" s="114" t="s">
        <v>1026</v>
      </c>
      <c r="D201" s="113" t="s">
        <v>1027</v>
      </c>
      <c r="E201" s="113" t="s">
        <v>1158</v>
      </c>
    </row>
    <row r="202" spans="1:5" ht="15" customHeight="1" x14ac:dyDescent="0.25">
      <c r="A202" s="113" t="s">
        <v>467</v>
      </c>
      <c r="B202" s="113" t="s">
        <v>141</v>
      </c>
      <c r="C202" s="113" t="s">
        <v>1017</v>
      </c>
      <c r="D202" s="113" t="s">
        <v>1018</v>
      </c>
      <c r="E202" s="113" t="s">
        <v>1019</v>
      </c>
    </row>
    <row r="203" spans="1:5" ht="15" customHeight="1" x14ac:dyDescent="0.25">
      <c r="A203" s="113" t="s">
        <v>467</v>
      </c>
      <c r="B203" s="113" t="s">
        <v>141</v>
      </c>
      <c r="C203" s="113" t="s">
        <v>1017</v>
      </c>
      <c r="D203" s="113" t="s">
        <v>78</v>
      </c>
      <c r="E203" s="113" t="s">
        <v>1159</v>
      </c>
    </row>
    <row r="204" spans="1:5" ht="15" customHeight="1" x14ac:dyDescent="0.25">
      <c r="A204" s="113" t="s">
        <v>467</v>
      </c>
      <c r="B204" s="113" t="s">
        <v>141</v>
      </c>
      <c r="C204" s="113" t="s">
        <v>1021</v>
      </c>
      <c r="D204" s="113" t="s">
        <v>1021</v>
      </c>
      <c r="E204" s="113" t="s">
        <v>1040</v>
      </c>
    </row>
    <row r="205" spans="1:5" ht="15" customHeight="1" x14ac:dyDescent="0.25">
      <c r="A205" s="113" t="s">
        <v>467</v>
      </c>
      <c r="B205" s="113" t="s">
        <v>141</v>
      </c>
      <c r="C205" s="113" t="s">
        <v>1017</v>
      </c>
      <c r="D205" s="113" t="s">
        <v>1024</v>
      </c>
      <c r="E205" s="113" t="s">
        <v>1025</v>
      </c>
    </row>
    <row r="206" spans="1:5" ht="15" customHeight="1" x14ac:dyDescent="0.25">
      <c r="A206" s="113" t="s">
        <v>467</v>
      </c>
      <c r="B206" s="113" t="s">
        <v>141</v>
      </c>
      <c r="C206" s="114" t="s">
        <v>1026</v>
      </c>
      <c r="D206" s="113" t="s">
        <v>1027</v>
      </c>
      <c r="E206" s="113" t="s">
        <v>1160</v>
      </c>
    </row>
    <row r="207" spans="1:5" ht="25.5" customHeight="1" x14ac:dyDescent="0.25">
      <c r="A207" s="113" t="s">
        <v>467</v>
      </c>
      <c r="B207" s="113" t="s">
        <v>141</v>
      </c>
      <c r="C207" s="113" t="s">
        <v>1017</v>
      </c>
      <c r="D207" s="113" t="s">
        <v>78</v>
      </c>
      <c r="E207" s="113" t="s">
        <v>1161</v>
      </c>
    </row>
    <row r="208" spans="1:5" ht="15" customHeight="1" x14ac:dyDescent="0.25">
      <c r="A208" s="113" t="s">
        <v>530</v>
      </c>
      <c r="B208" s="113" t="s">
        <v>225</v>
      </c>
      <c r="C208" s="113" t="s">
        <v>1017</v>
      </c>
      <c r="D208" s="113" t="s">
        <v>1043</v>
      </c>
      <c r="E208" s="113" t="s">
        <v>1044</v>
      </c>
    </row>
    <row r="209" spans="1:5" ht="15" customHeight="1" x14ac:dyDescent="0.25">
      <c r="A209" s="113" t="s">
        <v>530</v>
      </c>
      <c r="B209" s="113" t="s">
        <v>225</v>
      </c>
      <c r="C209" s="113" t="s">
        <v>1017</v>
      </c>
      <c r="D209" s="113" t="s">
        <v>78</v>
      </c>
      <c r="E209" s="113" t="s">
        <v>1162</v>
      </c>
    </row>
    <row r="210" spans="1:5" ht="15" customHeight="1" x14ac:dyDescent="0.25">
      <c r="A210" s="113" t="s">
        <v>530</v>
      </c>
      <c r="B210" s="113" t="s">
        <v>225</v>
      </c>
      <c r="C210" s="114" t="s">
        <v>1026</v>
      </c>
      <c r="D210" s="113" t="s">
        <v>1027</v>
      </c>
      <c r="E210" s="113" t="s">
        <v>1163</v>
      </c>
    </row>
    <row r="211" spans="1:5" ht="15" customHeight="1" x14ac:dyDescent="0.25">
      <c r="A211" s="113" t="s">
        <v>489</v>
      </c>
      <c r="B211" s="113" t="s">
        <v>172</v>
      </c>
      <c r="C211" s="113" t="s">
        <v>1017</v>
      </c>
      <c r="D211" s="113" t="s">
        <v>1043</v>
      </c>
      <c r="E211" s="113" t="s">
        <v>1044</v>
      </c>
    </row>
    <row r="212" spans="1:5" ht="15" customHeight="1" x14ac:dyDescent="0.25">
      <c r="A212" s="113" t="s">
        <v>489</v>
      </c>
      <c r="B212" s="113" t="s">
        <v>172</v>
      </c>
      <c r="C212" s="113" t="s">
        <v>1017</v>
      </c>
      <c r="D212" s="113" t="s">
        <v>78</v>
      </c>
      <c r="E212" s="113" t="s">
        <v>1164</v>
      </c>
    </row>
    <row r="213" spans="1:5" ht="15" customHeight="1" x14ac:dyDescent="0.25">
      <c r="A213" s="113" t="s">
        <v>489</v>
      </c>
      <c r="B213" s="113" t="s">
        <v>172</v>
      </c>
      <c r="C213" s="114" t="s">
        <v>1026</v>
      </c>
      <c r="D213" s="113" t="s">
        <v>1027</v>
      </c>
      <c r="E213" s="113" t="s">
        <v>1165</v>
      </c>
    </row>
    <row r="214" spans="1:5" ht="15" customHeight="1" x14ac:dyDescent="0.25">
      <c r="A214" s="113" t="s">
        <v>618</v>
      </c>
      <c r="B214" s="113" t="s">
        <v>351</v>
      </c>
      <c r="C214" s="113" t="s">
        <v>1017</v>
      </c>
      <c r="D214" s="113" t="s">
        <v>1043</v>
      </c>
      <c r="E214" s="113" t="s">
        <v>1044</v>
      </c>
    </row>
    <row r="215" spans="1:5" ht="15" customHeight="1" x14ac:dyDescent="0.25">
      <c r="A215" s="113" t="s">
        <v>618</v>
      </c>
      <c r="B215" s="113" t="s">
        <v>351</v>
      </c>
      <c r="C215" s="113" t="s">
        <v>1017</v>
      </c>
      <c r="D215" s="113" t="s">
        <v>78</v>
      </c>
      <c r="E215" s="113" t="s">
        <v>1166</v>
      </c>
    </row>
    <row r="216" spans="1:5" ht="15" customHeight="1" x14ac:dyDescent="0.25">
      <c r="A216" s="113" t="s">
        <v>618</v>
      </c>
      <c r="B216" s="113" t="s">
        <v>351</v>
      </c>
      <c r="C216" s="114" t="s">
        <v>1026</v>
      </c>
      <c r="D216" s="113" t="s">
        <v>1027</v>
      </c>
      <c r="E216" s="113" t="s">
        <v>1087</v>
      </c>
    </row>
    <row r="217" spans="1:5" ht="25.5" customHeight="1" x14ac:dyDescent="0.25">
      <c r="A217" s="113" t="s">
        <v>613</v>
      </c>
      <c r="B217" s="113" t="s">
        <v>344</v>
      </c>
      <c r="C217" s="113" t="s">
        <v>1017</v>
      </c>
      <c r="D217" s="113" t="s">
        <v>1043</v>
      </c>
      <c r="E217" s="113" t="s">
        <v>1044</v>
      </c>
    </row>
    <row r="218" spans="1:5" ht="25.5" customHeight="1" x14ac:dyDescent="0.25">
      <c r="A218" s="113" t="s">
        <v>613</v>
      </c>
      <c r="B218" s="113" t="s">
        <v>344</v>
      </c>
      <c r="C218" s="113" t="s">
        <v>1017</v>
      </c>
      <c r="D218" s="113" t="s">
        <v>78</v>
      </c>
      <c r="E218" s="113" t="s">
        <v>1167</v>
      </c>
    </row>
    <row r="219" spans="1:5" ht="25.5" customHeight="1" x14ac:dyDescent="0.25">
      <c r="A219" s="113" t="s">
        <v>613</v>
      </c>
      <c r="B219" s="113" t="s">
        <v>344</v>
      </c>
      <c r="C219" s="114" t="s">
        <v>1026</v>
      </c>
      <c r="D219" s="113" t="s">
        <v>1027</v>
      </c>
      <c r="E219" s="113" t="s">
        <v>1168</v>
      </c>
    </row>
    <row r="220" spans="1:5" ht="15" customHeight="1" x14ac:dyDescent="0.25">
      <c r="A220" s="113" t="s">
        <v>551</v>
      </c>
      <c r="B220" s="113" t="s">
        <v>256</v>
      </c>
      <c r="C220" s="113" t="s">
        <v>1017</v>
      </c>
      <c r="D220" s="113" t="s">
        <v>1043</v>
      </c>
      <c r="E220" s="113" t="s">
        <v>1044</v>
      </c>
    </row>
    <row r="221" spans="1:5" ht="15" customHeight="1" x14ac:dyDescent="0.25">
      <c r="A221" s="113" t="s">
        <v>551</v>
      </c>
      <c r="B221" s="113" t="s">
        <v>256</v>
      </c>
      <c r="C221" s="113" t="s">
        <v>1017</v>
      </c>
      <c r="D221" s="113" t="s">
        <v>78</v>
      </c>
      <c r="E221" s="113" t="s">
        <v>1169</v>
      </c>
    </row>
    <row r="222" spans="1:5" ht="15" customHeight="1" x14ac:dyDescent="0.25">
      <c r="A222" s="113" t="s">
        <v>551</v>
      </c>
      <c r="B222" s="113" t="s">
        <v>256</v>
      </c>
      <c r="C222" s="114" t="s">
        <v>1026</v>
      </c>
      <c r="D222" s="113" t="s">
        <v>1027</v>
      </c>
      <c r="E222" s="113" t="s">
        <v>1170</v>
      </c>
    </row>
    <row r="223" spans="1:5" ht="15" customHeight="1" x14ac:dyDescent="0.25">
      <c r="A223" s="113" t="s">
        <v>253</v>
      </c>
      <c r="B223" s="113" t="s">
        <v>253</v>
      </c>
      <c r="C223" s="113" t="s">
        <v>1017</v>
      </c>
      <c r="D223" s="113" t="s">
        <v>1043</v>
      </c>
      <c r="E223" s="113" t="s">
        <v>1044</v>
      </c>
    </row>
    <row r="224" spans="1:5" ht="15" customHeight="1" x14ac:dyDescent="0.25">
      <c r="A224" s="113" t="s">
        <v>253</v>
      </c>
      <c r="B224" s="113" t="s">
        <v>253</v>
      </c>
      <c r="C224" s="113" t="s">
        <v>1017</v>
      </c>
      <c r="D224" s="113" t="s">
        <v>1018</v>
      </c>
      <c r="E224" s="113" t="s">
        <v>1093</v>
      </c>
    </row>
    <row r="225" spans="1:5" ht="15" customHeight="1" x14ac:dyDescent="0.25">
      <c r="A225" s="113" t="s">
        <v>253</v>
      </c>
      <c r="B225" s="113" t="s">
        <v>253</v>
      </c>
      <c r="C225" s="113" t="s">
        <v>1017</v>
      </c>
      <c r="D225" s="113" t="s">
        <v>78</v>
      </c>
      <c r="E225" s="113" t="s">
        <v>1171</v>
      </c>
    </row>
    <row r="226" spans="1:5" ht="15" customHeight="1" x14ac:dyDescent="0.25">
      <c r="A226" s="113" t="s">
        <v>253</v>
      </c>
      <c r="B226" s="113" t="s">
        <v>253</v>
      </c>
      <c r="C226" s="114" t="s">
        <v>1026</v>
      </c>
      <c r="D226" s="113" t="s">
        <v>1027</v>
      </c>
      <c r="E226" s="113" t="s">
        <v>1172</v>
      </c>
    </row>
    <row r="227" spans="1:5" ht="15" customHeight="1" x14ac:dyDescent="0.25">
      <c r="A227" s="113" t="s">
        <v>525</v>
      </c>
      <c r="B227" s="113" t="s">
        <v>220</v>
      </c>
      <c r="C227" s="113" t="s">
        <v>1017</v>
      </c>
      <c r="D227" s="113" t="s">
        <v>1043</v>
      </c>
      <c r="E227" s="113" t="s">
        <v>1044</v>
      </c>
    </row>
    <row r="228" spans="1:5" ht="15" customHeight="1" x14ac:dyDescent="0.25">
      <c r="A228" s="113" t="s">
        <v>525</v>
      </c>
      <c r="B228" s="113" t="s">
        <v>220</v>
      </c>
      <c r="C228" s="113" t="s">
        <v>1017</v>
      </c>
      <c r="D228" s="113" t="s">
        <v>78</v>
      </c>
      <c r="E228" s="113" t="s">
        <v>1173</v>
      </c>
    </row>
    <row r="229" spans="1:5" ht="15" customHeight="1" x14ac:dyDescent="0.25">
      <c r="A229" s="113" t="s">
        <v>525</v>
      </c>
      <c r="B229" s="113" t="s">
        <v>220</v>
      </c>
      <c r="C229" s="114" t="s">
        <v>1026</v>
      </c>
      <c r="D229" s="113" t="s">
        <v>1027</v>
      </c>
      <c r="E229" s="113" t="s">
        <v>1174</v>
      </c>
    </row>
    <row r="230" spans="1:5" ht="15" customHeight="1" x14ac:dyDescent="0.25">
      <c r="A230" s="113" t="s">
        <v>515</v>
      </c>
      <c r="B230" s="113" t="s">
        <v>209</v>
      </c>
      <c r="C230" s="113" t="s">
        <v>1017</v>
      </c>
      <c r="D230" s="113" t="s">
        <v>1043</v>
      </c>
      <c r="E230" s="113" t="s">
        <v>1044</v>
      </c>
    </row>
    <row r="231" spans="1:5" ht="15" customHeight="1" x14ac:dyDescent="0.25">
      <c r="A231" s="113" t="s">
        <v>515</v>
      </c>
      <c r="B231" s="113" t="s">
        <v>209</v>
      </c>
      <c r="C231" s="113" t="s">
        <v>1017</v>
      </c>
      <c r="D231" s="113" t="s">
        <v>78</v>
      </c>
      <c r="E231" s="113" t="s">
        <v>1175</v>
      </c>
    </row>
    <row r="232" spans="1:5" ht="15" customHeight="1" x14ac:dyDescent="0.25">
      <c r="A232" s="113" t="s">
        <v>515</v>
      </c>
      <c r="B232" s="113" t="s">
        <v>209</v>
      </c>
      <c r="C232" s="114" t="s">
        <v>1026</v>
      </c>
      <c r="D232" s="113" t="s">
        <v>1027</v>
      </c>
      <c r="E232" s="113" t="s">
        <v>1176</v>
      </c>
    </row>
    <row r="233" spans="1:5" ht="15" customHeight="1" x14ac:dyDescent="0.25">
      <c r="A233" s="113" t="s">
        <v>612</v>
      </c>
      <c r="B233" s="113" t="s">
        <v>342</v>
      </c>
      <c r="C233" s="113" t="s">
        <v>1017</v>
      </c>
      <c r="D233" s="113" t="s">
        <v>1043</v>
      </c>
      <c r="E233" s="113" t="s">
        <v>1044</v>
      </c>
    </row>
    <row r="234" spans="1:5" ht="15" customHeight="1" x14ac:dyDescent="0.25">
      <c r="A234" s="113" t="s">
        <v>612</v>
      </c>
      <c r="B234" s="113" t="s">
        <v>342</v>
      </c>
      <c r="C234" s="113" t="s">
        <v>1017</v>
      </c>
      <c r="D234" s="113" t="s">
        <v>1018</v>
      </c>
      <c r="E234" s="113" t="s">
        <v>1093</v>
      </c>
    </row>
    <row r="235" spans="1:5" ht="25.5" customHeight="1" x14ac:dyDescent="0.25">
      <c r="A235" s="113" t="s">
        <v>612</v>
      </c>
      <c r="B235" s="113" t="s">
        <v>342</v>
      </c>
      <c r="C235" s="113" t="s">
        <v>1017</v>
      </c>
      <c r="D235" s="113" t="s">
        <v>78</v>
      </c>
      <c r="E235" s="113" t="s">
        <v>1177</v>
      </c>
    </row>
    <row r="236" spans="1:5" ht="15" customHeight="1" x14ac:dyDescent="0.25">
      <c r="A236" s="113" t="s">
        <v>612</v>
      </c>
      <c r="B236" s="113" t="s">
        <v>342</v>
      </c>
      <c r="C236" s="114" t="s">
        <v>1026</v>
      </c>
      <c r="D236" s="113" t="s">
        <v>1027</v>
      </c>
      <c r="E236" s="113" t="s">
        <v>1178</v>
      </c>
    </row>
    <row r="237" spans="1:5" ht="15" customHeight="1" x14ac:dyDescent="0.25">
      <c r="A237" s="113" t="s">
        <v>599</v>
      </c>
      <c r="B237" s="113" t="s">
        <v>323</v>
      </c>
      <c r="C237" s="113" t="s">
        <v>1017</v>
      </c>
      <c r="D237" s="113" t="s">
        <v>1043</v>
      </c>
      <c r="E237" s="113" t="s">
        <v>1044</v>
      </c>
    </row>
    <row r="238" spans="1:5" ht="15" customHeight="1" x14ac:dyDescent="0.25">
      <c r="A238" s="113" t="s">
        <v>599</v>
      </c>
      <c r="B238" s="113" t="s">
        <v>323</v>
      </c>
      <c r="C238" s="113" t="s">
        <v>1017</v>
      </c>
      <c r="D238" s="113" t="s">
        <v>1018</v>
      </c>
      <c r="E238" s="113" t="s">
        <v>1093</v>
      </c>
    </row>
    <row r="239" spans="1:5" ht="15" customHeight="1" x14ac:dyDescent="0.25">
      <c r="A239" s="113" t="s">
        <v>599</v>
      </c>
      <c r="B239" s="113" t="s">
        <v>323</v>
      </c>
      <c r="C239" s="113" t="s">
        <v>1017</v>
      </c>
      <c r="D239" s="113" t="s">
        <v>78</v>
      </c>
      <c r="E239" s="113" t="s">
        <v>1179</v>
      </c>
    </row>
    <row r="240" spans="1:5" ht="15" customHeight="1" x14ac:dyDescent="0.25">
      <c r="A240" s="113" t="s">
        <v>599</v>
      </c>
      <c r="B240" s="113" t="s">
        <v>323</v>
      </c>
      <c r="C240" s="114" t="s">
        <v>1026</v>
      </c>
      <c r="D240" s="113" t="s">
        <v>1027</v>
      </c>
      <c r="E240" s="113" t="s">
        <v>1180</v>
      </c>
    </row>
    <row r="241" spans="1:5" ht="15" customHeight="1" x14ac:dyDescent="0.25">
      <c r="A241" s="113" t="s">
        <v>487</v>
      </c>
      <c r="B241" s="113" t="s">
        <v>169</v>
      </c>
      <c r="C241" s="113" t="s">
        <v>1017</v>
      </c>
      <c r="D241" s="113" t="s">
        <v>1043</v>
      </c>
      <c r="E241" s="113" t="s">
        <v>1044</v>
      </c>
    </row>
    <row r="242" spans="1:5" ht="15" customHeight="1" x14ac:dyDescent="0.25">
      <c r="A242" s="113" t="s">
        <v>487</v>
      </c>
      <c r="B242" s="113" t="s">
        <v>169</v>
      </c>
      <c r="C242" s="113" t="s">
        <v>1017</v>
      </c>
      <c r="D242" s="113" t="s">
        <v>78</v>
      </c>
      <c r="E242" s="113" t="s">
        <v>1181</v>
      </c>
    </row>
    <row r="243" spans="1:5" ht="15" customHeight="1" x14ac:dyDescent="0.25">
      <c r="A243" s="113" t="s">
        <v>487</v>
      </c>
      <c r="B243" s="113" t="s">
        <v>169</v>
      </c>
      <c r="C243" s="114" t="s">
        <v>1026</v>
      </c>
      <c r="D243" s="113" t="s">
        <v>1027</v>
      </c>
      <c r="E243" s="113" t="s">
        <v>1182</v>
      </c>
    </row>
    <row r="244" spans="1:5" ht="25.5" customHeight="1" x14ac:dyDescent="0.25">
      <c r="A244" s="113" t="s">
        <v>488</v>
      </c>
      <c r="B244" s="113" t="s">
        <v>171</v>
      </c>
      <c r="C244" s="113" t="s">
        <v>1017</v>
      </c>
      <c r="D244" s="113" t="s">
        <v>1043</v>
      </c>
      <c r="E244" s="113" t="s">
        <v>1044</v>
      </c>
    </row>
    <row r="245" spans="1:5" ht="25.5" customHeight="1" x14ac:dyDescent="0.25">
      <c r="A245" s="113" t="s">
        <v>488</v>
      </c>
      <c r="B245" s="113" t="s">
        <v>171</v>
      </c>
      <c r="C245" s="113" t="s">
        <v>1017</v>
      </c>
      <c r="D245" s="113" t="s">
        <v>78</v>
      </c>
      <c r="E245" s="113" t="s">
        <v>1183</v>
      </c>
    </row>
    <row r="246" spans="1:5" ht="25.5" customHeight="1" x14ac:dyDescent="0.25">
      <c r="A246" s="113" t="s">
        <v>488</v>
      </c>
      <c r="B246" s="113" t="s">
        <v>171</v>
      </c>
      <c r="C246" s="114" t="s">
        <v>1026</v>
      </c>
      <c r="D246" s="113" t="s">
        <v>1027</v>
      </c>
      <c r="E246" s="113" t="s">
        <v>1182</v>
      </c>
    </row>
    <row r="247" spans="1:5" ht="15" customHeight="1" x14ac:dyDescent="0.25">
      <c r="A247" s="113" t="s">
        <v>609</v>
      </c>
      <c r="B247" s="113" t="s">
        <v>337</v>
      </c>
      <c r="C247" s="113" t="s">
        <v>1017</v>
      </c>
      <c r="D247" s="113" t="s">
        <v>1043</v>
      </c>
      <c r="E247" s="113" t="s">
        <v>1044</v>
      </c>
    </row>
    <row r="248" spans="1:5" ht="25.5" customHeight="1" x14ac:dyDescent="0.25">
      <c r="A248" s="113" t="s">
        <v>609</v>
      </c>
      <c r="B248" s="113" t="s">
        <v>337</v>
      </c>
      <c r="C248" s="113" t="s">
        <v>1017</v>
      </c>
      <c r="D248" s="113" t="s">
        <v>78</v>
      </c>
      <c r="E248" s="113" t="s">
        <v>1184</v>
      </c>
    </row>
    <row r="249" spans="1:5" ht="15" customHeight="1" x14ac:dyDescent="0.25">
      <c r="A249" s="113" t="s">
        <v>609</v>
      </c>
      <c r="B249" s="113" t="s">
        <v>337</v>
      </c>
      <c r="C249" s="114" t="s">
        <v>1026</v>
      </c>
      <c r="D249" s="113" t="s">
        <v>1027</v>
      </c>
      <c r="E249" s="113" t="s">
        <v>1178</v>
      </c>
    </row>
    <row r="250" spans="1:5" ht="15" customHeight="1" x14ac:dyDescent="0.25">
      <c r="A250" s="113" t="s">
        <v>575</v>
      </c>
      <c r="B250" s="113" t="s">
        <v>289</v>
      </c>
      <c r="C250" s="113" t="s">
        <v>1017</v>
      </c>
      <c r="D250" s="113" t="s">
        <v>1043</v>
      </c>
      <c r="E250" s="113" t="s">
        <v>1044</v>
      </c>
    </row>
    <row r="251" spans="1:5" ht="15" customHeight="1" x14ac:dyDescent="0.25">
      <c r="A251" s="113" t="s">
        <v>575</v>
      </c>
      <c r="B251" s="113" t="s">
        <v>289</v>
      </c>
      <c r="C251" s="113" t="s">
        <v>1017</v>
      </c>
      <c r="D251" s="113" t="s">
        <v>78</v>
      </c>
      <c r="E251" s="113" t="s">
        <v>1185</v>
      </c>
    </row>
    <row r="252" spans="1:5" ht="15" customHeight="1" x14ac:dyDescent="0.25">
      <c r="A252" s="113" t="s">
        <v>575</v>
      </c>
      <c r="B252" s="113" t="s">
        <v>289</v>
      </c>
      <c r="C252" s="114" t="s">
        <v>1026</v>
      </c>
      <c r="D252" s="113" t="s">
        <v>1027</v>
      </c>
      <c r="E252" s="113" t="s">
        <v>1186</v>
      </c>
    </row>
    <row r="253" spans="1:5" ht="15" customHeight="1" x14ac:dyDescent="0.25">
      <c r="A253" s="113" t="s">
        <v>634</v>
      </c>
      <c r="B253" s="113" t="s">
        <v>370</v>
      </c>
      <c r="C253" s="113" t="s">
        <v>1017</v>
      </c>
      <c r="D253" s="113" t="s">
        <v>1043</v>
      </c>
      <c r="E253" s="113" t="s">
        <v>1044</v>
      </c>
    </row>
    <row r="254" spans="1:5" ht="15" customHeight="1" x14ac:dyDescent="0.25">
      <c r="A254" s="113" t="s">
        <v>634</v>
      </c>
      <c r="B254" s="113" t="s">
        <v>370</v>
      </c>
      <c r="C254" s="113" t="s">
        <v>1017</v>
      </c>
      <c r="D254" s="113" t="s">
        <v>1018</v>
      </c>
      <c r="E254" s="113" t="s">
        <v>1187</v>
      </c>
    </row>
    <row r="255" spans="1:5" ht="15" customHeight="1" x14ac:dyDescent="0.25">
      <c r="A255" s="113" t="s">
        <v>634</v>
      </c>
      <c r="B255" s="113" t="s">
        <v>370</v>
      </c>
      <c r="C255" s="113" t="s">
        <v>1017</v>
      </c>
      <c r="D255" s="113" t="s">
        <v>78</v>
      </c>
      <c r="E255" s="113" t="s">
        <v>1188</v>
      </c>
    </row>
    <row r="256" spans="1:5" ht="15" customHeight="1" x14ac:dyDescent="0.25">
      <c r="A256" s="113" t="s">
        <v>634</v>
      </c>
      <c r="B256" s="113" t="s">
        <v>370</v>
      </c>
      <c r="C256" s="114" t="s">
        <v>1026</v>
      </c>
      <c r="D256" s="113" t="s">
        <v>1027</v>
      </c>
      <c r="E256" s="113" t="s">
        <v>1189</v>
      </c>
    </row>
    <row r="257" spans="1:5" ht="25.5" customHeight="1" x14ac:dyDescent="0.25">
      <c r="A257" s="113" t="s">
        <v>630</v>
      </c>
      <c r="B257" s="113" t="s">
        <v>365</v>
      </c>
      <c r="C257" s="113" t="s">
        <v>1017</v>
      </c>
      <c r="D257" s="113" t="s">
        <v>1043</v>
      </c>
      <c r="E257" s="113" t="s">
        <v>1044</v>
      </c>
    </row>
    <row r="258" spans="1:5" ht="25.5" customHeight="1" x14ac:dyDescent="0.25">
      <c r="A258" s="113" t="s">
        <v>630</v>
      </c>
      <c r="B258" s="113" t="s">
        <v>365</v>
      </c>
      <c r="C258" s="113" t="s">
        <v>1017</v>
      </c>
      <c r="D258" s="113" t="s">
        <v>1018</v>
      </c>
      <c r="E258" s="113" t="s">
        <v>1190</v>
      </c>
    </row>
    <row r="259" spans="1:5" ht="25.5" customHeight="1" x14ac:dyDescent="0.25">
      <c r="A259" s="113" t="s">
        <v>630</v>
      </c>
      <c r="B259" s="113" t="s">
        <v>365</v>
      </c>
      <c r="C259" s="113" t="s">
        <v>1017</v>
      </c>
      <c r="D259" s="113" t="s">
        <v>78</v>
      </c>
      <c r="E259" s="113" t="s">
        <v>1191</v>
      </c>
    </row>
    <row r="260" spans="1:5" ht="25.5" customHeight="1" x14ac:dyDescent="0.25">
      <c r="A260" s="113" t="s">
        <v>630</v>
      </c>
      <c r="B260" s="113" t="s">
        <v>365</v>
      </c>
      <c r="C260" s="114" t="s">
        <v>1026</v>
      </c>
      <c r="D260" s="113" t="s">
        <v>1027</v>
      </c>
      <c r="E260" s="113" t="s">
        <v>1192</v>
      </c>
    </row>
    <row r="261" spans="1:5" ht="15" customHeight="1" x14ac:dyDescent="0.25">
      <c r="A261" s="113" t="s">
        <v>628</v>
      </c>
      <c r="B261" s="113" t="s">
        <v>362</v>
      </c>
      <c r="C261" s="113" t="s">
        <v>1017</v>
      </c>
      <c r="D261" s="113" t="s">
        <v>1043</v>
      </c>
      <c r="E261" s="113" t="s">
        <v>1044</v>
      </c>
    </row>
    <row r="262" spans="1:5" ht="15" customHeight="1" x14ac:dyDescent="0.25">
      <c r="A262" s="113" t="s">
        <v>628</v>
      </c>
      <c r="B262" s="113" t="s">
        <v>362</v>
      </c>
      <c r="C262" s="113" t="s">
        <v>1017</v>
      </c>
      <c r="D262" s="113" t="s">
        <v>1018</v>
      </c>
      <c r="E262" s="113" t="s">
        <v>1093</v>
      </c>
    </row>
    <row r="263" spans="1:5" ht="15" customHeight="1" x14ac:dyDescent="0.25">
      <c r="A263" s="113" t="s">
        <v>628</v>
      </c>
      <c r="B263" s="113" t="s">
        <v>362</v>
      </c>
      <c r="C263" s="113" t="s">
        <v>1017</v>
      </c>
      <c r="D263" s="113" t="s">
        <v>78</v>
      </c>
      <c r="E263" s="113" t="s">
        <v>1193</v>
      </c>
    </row>
    <row r="264" spans="1:5" ht="15" customHeight="1" x14ac:dyDescent="0.25">
      <c r="A264" s="113" t="s">
        <v>628</v>
      </c>
      <c r="B264" s="113" t="s">
        <v>362</v>
      </c>
      <c r="C264" s="114" t="s">
        <v>1026</v>
      </c>
      <c r="D264" s="113" t="s">
        <v>1027</v>
      </c>
      <c r="E264" s="113" t="s">
        <v>1172</v>
      </c>
    </row>
    <row r="265" spans="1:5" ht="15" customHeight="1" x14ac:dyDescent="0.25">
      <c r="A265" s="113" t="s">
        <v>604</v>
      </c>
      <c r="B265" s="113" t="s">
        <v>330</v>
      </c>
      <c r="C265" s="113" t="s">
        <v>1017</v>
      </c>
      <c r="D265" s="113" t="s">
        <v>1043</v>
      </c>
      <c r="E265" s="113" t="s">
        <v>1044</v>
      </c>
    </row>
    <row r="266" spans="1:5" ht="15" customHeight="1" x14ac:dyDescent="0.25">
      <c r="A266" s="113" t="s">
        <v>604</v>
      </c>
      <c r="B266" s="113" t="s">
        <v>330</v>
      </c>
      <c r="C266" s="113" t="s">
        <v>1017</v>
      </c>
      <c r="D266" s="113" t="s">
        <v>1018</v>
      </c>
      <c r="E266" s="113" t="s">
        <v>1093</v>
      </c>
    </row>
    <row r="267" spans="1:5" ht="15" customHeight="1" x14ac:dyDescent="0.25">
      <c r="A267" s="113" t="s">
        <v>604</v>
      </c>
      <c r="B267" s="113" t="s">
        <v>330</v>
      </c>
      <c r="C267" s="113" t="s">
        <v>1017</v>
      </c>
      <c r="D267" s="113" t="s">
        <v>78</v>
      </c>
      <c r="E267" s="113" t="s">
        <v>1194</v>
      </c>
    </row>
    <row r="268" spans="1:5" ht="15" customHeight="1" x14ac:dyDescent="0.25">
      <c r="A268" s="113" t="s">
        <v>604</v>
      </c>
      <c r="B268" s="113" t="s">
        <v>330</v>
      </c>
      <c r="C268" s="114" t="s">
        <v>1026</v>
      </c>
      <c r="D268" s="113" t="s">
        <v>1027</v>
      </c>
      <c r="E268" s="113" t="s">
        <v>1131</v>
      </c>
    </row>
    <row r="269" spans="1:5" ht="15" customHeight="1" x14ac:dyDescent="0.25">
      <c r="A269" s="113" t="s">
        <v>540</v>
      </c>
      <c r="B269" s="113" t="s">
        <v>238</v>
      </c>
      <c r="C269" s="113" t="s">
        <v>1017</v>
      </c>
      <c r="D269" s="113" t="s">
        <v>1043</v>
      </c>
      <c r="E269" s="113" t="s">
        <v>1044</v>
      </c>
    </row>
    <row r="270" spans="1:5" ht="15" customHeight="1" x14ac:dyDescent="0.25">
      <c r="A270" s="113" t="s">
        <v>540</v>
      </c>
      <c r="B270" s="113" t="s">
        <v>238</v>
      </c>
      <c r="C270" s="113" t="s">
        <v>1017</v>
      </c>
      <c r="D270" s="113" t="s">
        <v>78</v>
      </c>
      <c r="E270" s="113" t="s">
        <v>1195</v>
      </c>
    </row>
    <row r="271" spans="1:5" ht="15" customHeight="1" x14ac:dyDescent="0.25">
      <c r="A271" s="113" t="s">
        <v>540</v>
      </c>
      <c r="B271" s="113" t="s">
        <v>238</v>
      </c>
      <c r="C271" s="114" t="s">
        <v>1026</v>
      </c>
      <c r="D271" s="113" t="s">
        <v>1027</v>
      </c>
      <c r="E271" s="113" t="s">
        <v>1196</v>
      </c>
    </row>
    <row r="272" spans="1:5" ht="15" customHeight="1" x14ac:dyDescent="0.25">
      <c r="A272" s="113" t="s">
        <v>461</v>
      </c>
      <c r="B272" s="113" t="s">
        <v>129</v>
      </c>
      <c r="C272" s="113" t="s">
        <v>1017</v>
      </c>
      <c r="D272" s="113" t="s">
        <v>1043</v>
      </c>
      <c r="E272" s="113" t="s">
        <v>1044</v>
      </c>
    </row>
    <row r="273" spans="1:5" ht="15" customHeight="1" x14ac:dyDescent="0.25">
      <c r="A273" s="113" t="s">
        <v>461</v>
      </c>
      <c r="B273" s="113" t="s">
        <v>129</v>
      </c>
      <c r="C273" s="113" t="s">
        <v>1017</v>
      </c>
      <c r="D273" s="113" t="s">
        <v>1018</v>
      </c>
      <c r="E273" s="113" t="s">
        <v>1190</v>
      </c>
    </row>
    <row r="274" spans="1:5" ht="25.5" customHeight="1" x14ac:dyDescent="0.25">
      <c r="A274" s="113" t="s">
        <v>461</v>
      </c>
      <c r="B274" s="113" t="s">
        <v>129</v>
      </c>
      <c r="C274" s="113" t="s">
        <v>1017</v>
      </c>
      <c r="D274" s="113" t="s">
        <v>78</v>
      </c>
      <c r="E274" s="113" t="s">
        <v>1197</v>
      </c>
    </row>
    <row r="275" spans="1:5" ht="15" customHeight="1" x14ac:dyDescent="0.25">
      <c r="A275" s="113" t="s">
        <v>461</v>
      </c>
      <c r="B275" s="113" t="s">
        <v>129</v>
      </c>
      <c r="C275" s="114" t="s">
        <v>1026</v>
      </c>
      <c r="D275" s="113" t="s">
        <v>1027</v>
      </c>
      <c r="E275" s="113" t="s">
        <v>1198</v>
      </c>
    </row>
    <row r="276" spans="1:5" ht="15" customHeight="1" x14ac:dyDescent="0.25">
      <c r="A276" s="113" t="s">
        <v>579</v>
      </c>
      <c r="B276" s="113" t="s">
        <v>297</v>
      </c>
      <c r="C276" s="113" t="s">
        <v>1017</v>
      </c>
      <c r="D276" s="113" t="s">
        <v>1043</v>
      </c>
      <c r="E276" s="113" t="s">
        <v>1044</v>
      </c>
    </row>
    <row r="277" spans="1:5" ht="15" customHeight="1" x14ac:dyDescent="0.25">
      <c r="A277" s="113" t="s">
        <v>579</v>
      </c>
      <c r="B277" s="113" t="s">
        <v>297</v>
      </c>
      <c r="C277" s="113" t="s">
        <v>1017</v>
      </c>
      <c r="D277" s="113" t="s">
        <v>1018</v>
      </c>
      <c r="E277" s="113" t="s">
        <v>1093</v>
      </c>
    </row>
    <row r="278" spans="1:5" ht="15" customHeight="1" x14ac:dyDescent="0.25">
      <c r="A278" s="113" t="s">
        <v>579</v>
      </c>
      <c r="B278" s="113" t="s">
        <v>297</v>
      </c>
      <c r="C278" s="113" t="s">
        <v>1017</v>
      </c>
      <c r="D278" s="113" t="s">
        <v>78</v>
      </c>
      <c r="E278" s="113" t="s">
        <v>1199</v>
      </c>
    </row>
    <row r="279" spans="1:5" ht="15" customHeight="1" x14ac:dyDescent="0.25">
      <c r="A279" s="113" t="s">
        <v>579</v>
      </c>
      <c r="B279" s="113" t="s">
        <v>297</v>
      </c>
      <c r="C279" s="114" t="s">
        <v>1026</v>
      </c>
      <c r="D279" s="113" t="s">
        <v>1027</v>
      </c>
      <c r="E279" s="113" t="s">
        <v>1200</v>
      </c>
    </row>
    <row r="280" spans="1:5" ht="15" customHeight="1" x14ac:dyDescent="0.25">
      <c r="A280" s="113" t="s">
        <v>617</v>
      </c>
      <c r="B280" s="113" t="s">
        <v>350</v>
      </c>
      <c r="C280" s="113" t="s">
        <v>1017</v>
      </c>
      <c r="D280" s="113" t="s">
        <v>1043</v>
      </c>
      <c r="E280" s="113" t="s">
        <v>1044</v>
      </c>
    </row>
    <row r="281" spans="1:5" ht="15" customHeight="1" x14ac:dyDescent="0.25">
      <c r="A281" s="113" t="s">
        <v>617</v>
      </c>
      <c r="B281" s="113" t="s">
        <v>350</v>
      </c>
      <c r="C281" s="113" t="s">
        <v>1017</v>
      </c>
      <c r="D281" s="113" t="s">
        <v>1018</v>
      </c>
      <c r="E281" s="113" t="s">
        <v>1190</v>
      </c>
    </row>
    <row r="282" spans="1:5" ht="25.5" customHeight="1" x14ac:dyDescent="0.25">
      <c r="A282" s="113" t="s">
        <v>617</v>
      </c>
      <c r="B282" s="113" t="s">
        <v>350</v>
      </c>
      <c r="C282" s="113" t="s">
        <v>1017</v>
      </c>
      <c r="D282" s="113" t="s">
        <v>78</v>
      </c>
      <c r="E282" s="113" t="s">
        <v>1201</v>
      </c>
    </row>
    <row r="283" spans="1:5" ht="15" customHeight="1" x14ac:dyDescent="0.25">
      <c r="A283" s="113" t="s">
        <v>617</v>
      </c>
      <c r="B283" s="113" t="s">
        <v>350</v>
      </c>
      <c r="C283" s="114" t="s">
        <v>1026</v>
      </c>
      <c r="D283" s="113" t="s">
        <v>1027</v>
      </c>
      <c r="E283" s="113" t="s">
        <v>1202</v>
      </c>
    </row>
    <row r="284" spans="1:5" ht="15" customHeight="1" x14ac:dyDescent="0.25">
      <c r="A284" s="113" t="s">
        <v>473</v>
      </c>
      <c r="B284" s="113" t="s">
        <v>152</v>
      </c>
      <c r="C284" s="113" t="s">
        <v>1017</v>
      </c>
      <c r="D284" s="113" t="s">
        <v>1043</v>
      </c>
      <c r="E284" s="113" t="s">
        <v>1044</v>
      </c>
    </row>
    <row r="285" spans="1:5" ht="15" customHeight="1" x14ac:dyDescent="0.25">
      <c r="A285" s="113" t="s">
        <v>473</v>
      </c>
      <c r="B285" s="113" t="s">
        <v>152</v>
      </c>
      <c r="C285" s="113" t="s">
        <v>1017</v>
      </c>
      <c r="D285" s="113" t="s">
        <v>78</v>
      </c>
      <c r="E285" s="113" t="s">
        <v>1203</v>
      </c>
    </row>
    <row r="286" spans="1:5" ht="15" customHeight="1" x14ac:dyDescent="0.25">
      <c r="A286" s="113" t="s">
        <v>473</v>
      </c>
      <c r="B286" s="113" t="s">
        <v>152</v>
      </c>
      <c r="C286" s="114" t="s">
        <v>1026</v>
      </c>
      <c r="D286" s="113" t="s">
        <v>1027</v>
      </c>
      <c r="E286" s="113" t="s">
        <v>1204</v>
      </c>
    </row>
    <row r="287" spans="1:5" ht="15" customHeight="1" x14ac:dyDescent="0.25">
      <c r="A287" s="113" t="s">
        <v>563</v>
      </c>
      <c r="B287" s="113" t="s">
        <v>274</v>
      </c>
      <c r="C287" s="113" t="s">
        <v>1017</v>
      </c>
      <c r="D287" s="113" t="s">
        <v>1043</v>
      </c>
      <c r="E287" s="113" t="s">
        <v>1044</v>
      </c>
    </row>
    <row r="288" spans="1:5" ht="15" customHeight="1" x14ac:dyDescent="0.25">
      <c r="A288" s="113" t="s">
        <v>563</v>
      </c>
      <c r="B288" s="113" t="s">
        <v>274</v>
      </c>
      <c r="C288" s="113" t="s">
        <v>1017</v>
      </c>
      <c r="D288" s="113" t="s">
        <v>78</v>
      </c>
      <c r="E288" s="113" t="s">
        <v>1205</v>
      </c>
    </row>
    <row r="289" spans="1:5" ht="15" customHeight="1" x14ac:dyDescent="0.25">
      <c r="A289" s="113" t="s">
        <v>563</v>
      </c>
      <c r="B289" s="113" t="s">
        <v>274</v>
      </c>
      <c r="C289" s="114" t="s">
        <v>1026</v>
      </c>
      <c r="D289" s="113" t="s">
        <v>1027</v>
      </c>
      <c r="E289" s="113" t="s">
        <v>1206</v>
      </c>
    </row>
    <row r="290" spans="1:5" ht="25.5" customHeight="1" x14ac:dyDescent="0.25">
      <c r="A290" s="113" t="s">
        <v>536</v>
      </c>
      <c r="B290" s="113" t="s">
        <v>233</v>
      </c>
      <c r="C290" s="113" t="s">
        <v>1017</v>
      </c>
      <c r="D290" s="113" t="s">
        <v>78</v>
      </c>
      <c r="E290" s="113" t="s">
        <v>1207</v>
      </c>
    </row>
    <row r="291" spans="1:5" ht="25.5" customHeight="1" x14ac:dyDescent="0.25">
      <c r="A291" s="113" t="s">
        <v>536</v>
      </c>
      <c r="B291" s="113" t="s">
        <v>233</v>
      </c>
      <c r="C291" s="113" t="s">
        <v>1021</v>
      </c>
      <c r="D291" s="113" t="s">
        <v>1021</v>
      </c>
      <c r="E291" s="113" t="s">
        <v>1208</v>
      </c>
    </row>
    <row r="292" spans="1:5" ht="25.5" customHeight="1" x14ac:dyDescent="0.25">
      <c r="A292" s="113" t="s">
        <v>536</v>
      </c>
      <c r="B292" s="113" t="s">
        <v>233</v>
      </c>
      <c r="C292" s="113" t="s">
        <v>1017</v>
      </c>
      <c r="D292" s="113" t="s">
        <v>78</v>
      </c>
      <c r="E292" s="113" t="s">
        <v>1209</v>
      </c>
    </row>
    <row r="293" spans="1:5" ht="25.5" customHeight="1" x14ac:dyDescent="0.25">
      <c r="A293" s="113" t="s">
        <v>536</v>
      </c>
      <c r="B293" s="113" t="s">
        <v>233</v>
      </c>
      <c r="C293" s="113" t="s">
        <v>1017</v>
      </c>
      <c r="D293" s="113" t="s">
        <v>1024</v>
      </c>
      <c r="E293" s="113" t="s">
        <v>1025</v>
      </c>
    </row>
    <row r="294" spans="1:5" ht="25.5" customHeight="1" x14ac:dyDescent="0.25">
      <c r="A294" s="113" t="s">
        <v>536</v>
      </c>
      <c r="B294" s="113" t="s">
        <v>233</v>
      </c>
      <c r="C294" s="114" t="s">
        <v>1026</v>
      </c>
      <c r="D294" s="113" t="s">
        <v>1027</v>
      </c>
      <c r="E294" s="113" t="s">
        <v>1210</v>
      </c>
    </row>
    <row r="295" spans="1:5" ht="25.5" customHeight="1" x14ac:dyDescent="0.25">
      <c r="A295" s="113" t="s">
        <v>536</v>
      </c>
      <c r="B295" s="113" t="s">
        <v>233</v>
      </c>
      <c r="C295" s="113" t="s">
        <v>1017</v>
      </c>
      <c r="D295" s="113" t="s">
        <v>78</v>
      </c>
      <c r="E295" s="113" t="s">
        <v>1211</v>
      </c>
    </row>
    <row r="296" spans="1:5" ht="15" customHeight="1" x14ac:dyDescent="0.25">
      <c r="A296" s="113" t="s">
        <v>549</v>
      </c>
      <c r="B296" s="113" t="s">
        <v>146</v>
      </c>
      <c r="C296" s="113" t="s">
        <v>1017</v>
      </c>
      <c r="D296" s="113" t="s">
        <v>1043</v>
      </c>
      <c r="E296" s="113" t="s">
        <v>1044</v>
      </c>
    </row>
    <row r="297" spans="1:5" ht="15" customHeight="1" x14ac:dyDescent="0.25">
      <c r="A297" s="113" t="s">
        <v>549</v>
      </c>
      <c r="B297" s="113" t="s">
        <v>146</v>
      </c>
      <c r="C297" s="113" t="s">
        <v>1017</v>
      </c>
      <c r="D297" s="113" t="s">
        <v>78</v>
      </c>
      <c r="E297" s="113" t="s">
        <v>1212</v>
      </c>
    </row>
    <row r="298" spans="1:5" ht="15" customHeight="1" x14ac:dyDescent="0.25">
      <c r="A298" s="113" t="s">
        <v>549</v>
      </c>
      <c r="B298" s="113" t="s">
        <v>146</v>
      </c>
      <c r="C298" s="114" t="s">
        <v>1026</v>
      </c>
      <c r="D298" s="113" t="s">
        <v>1027</v>
      </c>
      <c r="E298" s="113" t="s">
        <v>1213</v>
      </c>
    </row>
    <row r="299" spans="1:5" ht="15" customHeight="1" x14ac:dyDescent="0.25">
      <c r="A299" s="113" t="s">
        <v>562</v>
      </c>
      <c r="B299" s="113" t="s">
        <v>272</v>
      </c>
      <c r="C299" s="113" t="s">
        <v>1017</v>
      </c>
      <c r="D299" s="113" t="s">
        <v>1018</v>
      </c>
      <c r="E299" s="113" t="s">
        <v>1019</v>
      </c>
    </row>
    <row r="300" spans="1:5" ht="15" customHeight="1" x14ac:dyDescent="0.25">
      <c r="A300" s="113" t="s">
        <v>562</v>
      </c>
      <c r="B300" s="113" t="s">
        <v>272</v>
      </c>
      <c r="C300" s="113" t="s">
        <v>1017</v>
      </c>
      <c r="D300" s="113" t="s">
        <v>78</v>
      </c>
      <c r="E300" s="113" t="s">
        <v>1214</v>
      </c>
    </row>
    <row r="301" spans="1:5" ht="15" customHeight="1" x14ac:dyDescent="0.25">
      <c r="A301" s="113" t="s">
        <v>562</v>
      </c>
      <c r="B301" s="113" t="s">
        <v>272</v>
      </c>
      <c r="C301" s="113" t="s">
        <v>1021</v>
      </c>
      <c r="D301" s="113" t="s">
        <v>1021</v>
      </c>
      <c r="E301" s="113" t="s">
        <v>1215</v>
      </c>
    </row>
    <row r="302" spans="1:5" ht="15" customHeight="1" x14ac:dyDescent="0.25">
      <c r="A302" s="113" t="s">
        <v>562</v>
      </c>
      <c r="B302" s="113" t="s">
        <v>272</v>
      </c>
      <c r="C302" s="113" t="s">
        <v>1021</v>
      </c>
      <c r="D302" s="113" t="s">
        <v>1021</v>
      </c>
      <c r="E302" s="113" t="s">
        <v>1216</v>
      </c>
    </row>
    <row r="303" spans="1:5" ht="15" customHeight="1" x14ac:dyDescent="0.25">
      <c r="A303" s="113" t="s">
        <v>562</v>
      </c>
      <c r="B303" s="113" t="s">
        <v>272</v>
      </c>
      <c r="C303" s="113" t="s">
        <v>1017</v>
      </c>
      <c r="D303" s="113" t="s">
        <v>1024</v>
      </c>
      <c r="E303" s="113" t="s">
        <v>1025</v>
      </c>
    </row>
    <row r="304" spans="1:5" ht="15" customHeight="1" x14ac:dyDescent="0.25">
      <c r="A304" s="113" t="s">
        <v>562</v>
      </c>
      <c r="B304" s="113" t="s">
        <v>272</v>
      </c>
      <c r="C304" s="114" t="s">
        <v>1026</v>
      </c>
      <c r="D304" s="113" t="s">
        <v>1027</v>
      </c>
      <c r="E304" s="113" t="s">
        <v>1217</v>
      </c>
    </row>
    <row r="305" spans="1:5" ht="25.5" customHeight="1" x14ac:dyDescent="0.25">
      <c r="A305" s="113" t="s">
        <v>562</v>
      </c>
      <c r="B305" s="113" t="s">
        <v>272</v>
      </c>
      <c r="C305" s="113" t="s">
        <v>1017</v>
      </c>
      <c r="D305" s="113" t="s">
        <v>78</v>
      </c>
      <c r="E305" s="113" t="s">
        <v>1218</v>
      </c>
    </row>
    <row r="306" spans="1:5" ht="15" customHeight="1" x14ac:dyDescent="0.25">
      <c r="A306" s="113" t="s">
        <v>621</v>
      </c>
      <c r="B306" s="113" t="s">
        <v>356</v>
      </c>
      <c r="C306" s="113" t="s">
        <v>1017</v>
      </c>
      <c r="D306" s="113" t="s">
        <v>1043</v>
      </c>
      <c r="E306" s="113" t="s">
        <v>1044</v>
      </c>
    </row>
    <row r="307" spans="1:5" ht="15" customHeight="1" x14ac:dyDescent="0.25">
      <c r="A307" s="113" t="s">
        <v>621</v>
      </c>
      <c r="B307" s="113" t="s">
        <v>356</v>
      </c>
      <c r="C307" s="113" t="s">
        <v>1017</v>
      </c>
      <c r="D307" s="113" t="s">
        <v>78</v>
      </c>
      <c r="E307" s="113" t="s">
        <v>1219</v>
      </c>
    </row>
    <row r="308" spans="1:5" ht="15" customHeight="1" x14ac:dyDescent="0.25">
      <c r="A308" s="113" t="s">
        <v>621</v>
      </c>
      <c r="B308" s="113" t="s">
        <v>356</v>
      </c>
      <c r="C308" s="114" t="s">
        <v>1026</v>
      </c>
      <c r="D308" s="113" t="s">
        <v>1027</v>
      </c>
      <c r="E308" s="113" t="s">
        <v>1220</v>
      </c>
    </row>
    <row r="309" spans="1:5" ht="15" customHeight="1" x14ac:dyDescent="0.25">
      <c r="A309" s="113" t="s">
        <v>622</v>
      </c>
      <c r="B309" s="113" t="s">
        <v>357</v>
      </c>
      <c r="C309" s="113" t="s">
        <v>1017</v>
      </c>
      <c r="D309" s="113" t="s">
        <v>1043</v>
      </c>
      <c r="E309" s="113" t="s">
        <v>1044</v>
      </c>
    </row>
    <row r="310" spans="1:5" ht="15" customHeight="1" x14ac:dyDescent="0.25">
      <c r="A310" s="113" t="s">
        <v>622</v>
      </c>
      <c r="B310" s="113" t="s">
        <v>357</v>
      </c>
      <c r="C310" s="113" t="s">
        <v>1017</v>
      </c>
      <c r="D310" s="113" t="s">
        <v>78</v>
      </c>
      <c r="E310" s="113" t="s">
        <v>1221</v>
      </c>
    </row>
    <row r="311" spans="1:5" ht="15" customHeight="1" x14ac:dyDescent="0.25">
      <c r="A311" s="113" t="s">
        <v>622</v>
      </c>
      <c r="B311" s="113" t="s">
        <v>357</v>
      </c>
      <c r="C311" s="114" t="s">
        <v>1026</v>
      </c>
      <c r="D311" s="113" t="s">
        <v>1027</v>
      </c>
      <c r="E311" s="113" t="s">
        <v>1220</v>
      </c>
    </row>
    <row r="312" spans="1:5" ht="15" customHeight="1" x14ac:dyDescent="0.25">
      <c r="A312" s="113" t="s">
        <v>545</v>
      </c>
      <c r="B312" s="113" t="s">
        <v>245</v>
      </c>
      <c r="C312" s="113" t="s">
        <v>1017</v>
      </c>
      <c r="D312" s="113" t="s">
        <v>78</v>
      </c>
      <c r="E312" s="113" t="s">
        <v>1222</v>
      </c>
    </row>
    <row r="313" spans="1:5" ht="25.5" customHeight="1" x14ac:dyDescent="0.25">
      <c r="A313" s="113" t="s">
        <v>545</v>
      </c>
      <c r="B313" s="113" t="s">
        <v>245</v>
      </c>
      <c r="C313" s="113" t="s">
        <v>1021</v>
      </c>
      <c r="D313" s="113" t="s">
        <v>1021</v>
      </c>
      <c r="E313" s="113" t="s">
        <v>1223</v>
      </c>
    </row>
    <row r="314" spans="1:5" ht="15" customHeight="1" x14ac:dyDescent="0.25">
      <c r="A314" s="113" t="s">
        <v>545</v>
      </c>
      <c r="B314" s="113" t="s">
        <v>245</v>
      </c>
      <c r="C314" s="113" t="s">
        <v>1021</v>
      </c>
      <c r="D314" s="113" t="s">
        <v>1021</v>
      </c>
      <c r="E314" s="113" t="s">
        <v>1224</v>
      </c>
    </row>
    <row r="315" spans="1:5" ht="15" customHeight="1" x14ac:dyDescent="0.25">
      <c r="A315" s="113" t="s">
        <v>545</v>
      </c>
      <c r="B315" s="113" t="s">
        <v>245</v>
      </c>
      <c r="C315" s="113" t="s">
        <v>1017</v>
      </c>
      <c r="D315" s="113" t="s">
        <v>78</v>
      </c>
      <c r="E315" s="113" t="s">
        <v>1225</v>
      </c>
    </row>
    <row r="316" spans="1:5" ht="15" customHeight="1" x14ac:dyDescent="0.25">
      <c r="A316" s="113" t="s">
        <v>545</v>
      </c>
      <c r="B316" s="113" t="s">
        <v>245</v>
      </c>
      <c r="C316" s="113" t="s">
        <v>1017</v>
      </c>
      <c r="D316" s="113" t="s">
        <v>1024</v>
      </c>
      <c r="E316" s="113" t="s">
        <v>1025</v>
      </c>
    </row>
    <row r="317" spans="1:5" ht="15" customHeight="1" x14ac:dyDescent="0.25">
      <c r="A317" s="113" t="s">
        <v>545</v>
      </c>
      <c r="B317" s="113" t="s">
        <v>245</v>
      </c>
      <c r="C317" s="114" t="s">
        <v>1026</v>
      </c>
      <c r="D317" s="113" t="s">
        <v>1027</v>
      </c>
      <c r="E317" s="113" t="s">
        <v>1226</v>
      </c>
    </row>
    <row r="318" spans="1:5" ht="25.5" customHeight="1" x14ac:dyDescent="0.25">
      <c r="A318" s="113" t="s">
        <v>545</v>
      </c>
      <c r="B318" s="113" t="s">
        <v>245</v>
      </c>
      <c r="C318" s="113" t="s">
        <v>1017</v>
      </c>
      <c r="D318" s="113" t="s">
        <v>78</v>
      </c>
      <c r="E318" s="113" t="s">
        <v>1227</v>
      </c>
    </row>
    <row r="319" spans="1:5" ht="15" customHeight="1" x14ac:dyDescent="0.25">
      <c r="A319" s="113" t="s">
        <v>573</v>
      </c>
      <c r="B319" s="113" t="s">
        <v>287</v>
      </c>
      <c r="C319" s="113" t="s">
        <v>1017</v>
      </c>
      <c r="D319" s="113" t="s">
        <v>1043</v>
      </c>
      <c r="E319" s="113" t="s">
        <v>1044</v>
      </c>
    </row>
    <row r="320" spans="1:5" ht="15" customHeight="1" x14ac:dyDescent="0.25">
      <c r="A320" s="113" t="s">
        <v>573</v>
      </c>
      <c r="B320" s="113" t="s">
        <v>287</v>
      </c>
      <c r="C320" s="113" t="s">
        <v>1017</v>
      </c>
      <c r="D320" s="113" t="s">
        <v>78</v>
      </c>
      <c r="E320" s="113" t="s">
        <v>1228</v>
      </c>
    </row>
    <row r="321" spans="1:5" ht="15" customHeight="1" x14ac:dyDescent="0.25">
      <c r="A321" s="113" t="s">
        <v>573</v>
      </c>
      <c r="B321" s="113" t="s">
        <v>287</v>
      </c>
      <c r="C321" s="114" t="s">
        <v>1026</v>
      </c>
      <c r="D321" s="113" t="s">
        <v>1027</v>
      </c>
      <c r="E321" s="113" t="s">
        <v>1213</v>
      </c>
    </row>
    <row r="322" spans="1:5" ht="15" customHeight="1" x14ac:dyDescent="0.25">
      <c r="A322" s="113" t="s">
        <v>541</v>
      </c>
      <c r="B322" s="113" t="s">
        <v>240</v>
      </c>
      <c r="C322" s="113" t="s">
        <v>1017</v>
      </c>
      <c r="D322" s="113" t="s">
        <v>78</v>
      </c>
      <c r="E322" s="113" t="s">
        <v>1229</v>
      </c>
    </row>
    <row r="323" spans="1:5" ht="15" customHeight="1" x14ac:dyDescent="0.25">
      <c r="A323" s="113" t="s">
        <v>541</v>
      </c>
      <c r="B323" s="113" t="s">
        <v>240</v>
      </c>
      <c r="C323" s="113" t="s">
        <v>1017</v>
      </c>
      <c r="D323" s="113" t="s">
        <v>78</v>
      </c>
      <c r="E323" s="113" t="s">
        <v>1230</v>
      </c>
    </row>
    <row r="324" spans="1:5" ht="15" customHeight="1" x14ac:dyDescent="0.25">
      <c r="A324" s="113" t="s">
        <v>541</v>
      </c>
      <c r="B324" s="113" t="s">
        <v>240</v>
      </c>
      <c r="C324" s="113" t="s">
        <v>1021</v>
      </c>
      <c r="D324" s="113" t="s">
        <v>1021</v>
      </c>
      <c r="E324" s="113" t="s">
        <v>1231</v>
      </c>
    </row>
    <row r="325" spans="1:5" ht="15" customHeight="1" x14ac:dyDescent="0.25">
      <c r="A325" s="113" t="s">
        <v>541</v>
      </c>
      <c r="B325" s="113" t="s">
        <v>240</v>
      </c>
      <c r="C325" s="113" t="s">
        <v>1017</v>
      </c>
      <c r="D325" s="113" t="s">
        <v>78</v>
      </c>
      <c r="E325" s="113" t="s">
        <v>1232</v>
      </c>
    </row>
    <row r="326" spans="1:5" ht="15" customHeight="1" x14ac:dyDescent="0.25">
      <c r="A326" s="113" t="s">
        <v>541</v>
      </c>
      <c r="B326" s="113" t="s">
        <v>240</v>
      </c>
      <c r="C326" s="114" t="s">
        <v>1026</v>
      </c>
      <c r="D326" s="113" t="s">
        <v>1027</v>
      </c>
      <c r="E326" s="113" t="s">
        <v>1233</v>
      </c>
    </row>
    <row r="327" spans="1:5" ht="15" customHeight="1" x14ac:dyDescent="0.25">
      <c r="A327" s="113" t="s">
        <v>541</v>
      </c>
      <c r="B327" s="113" t="s">
        <v>240</v>
      </c>
      <c r="C327" s="113" t="s">
        <v>1017</v>
      </c>
      <c r="D327" s="113" t="s">
        <v>78</v>
      </c>
      <c r="E327" s="113" t="s">
        <v>1234</v>
      </c>
    </row>
    <row r="328" spans="1:5" ht="15" customHeight="1" x14ac:dyDescent="0.25">
      <c r="A328" s="113" t="s">
        <v>574</v>
      </c>
      <c r="B328" s="113" t="s">
        <v>288</v>
      </c>
      <c r="C328" s="113" t="s">
        <v>1017</v>
      </c>
      <c r="D328" s="113" t="s">
        <v>1043</v>
      </c>
      <c r="E328" s="113" t="s">
        <v>1044</v>
      </c>
    </row>
    <row r="329" spans="1:5" ht="15" customHeight="1" x14ac:dyDescent="0.25">
      <c r="A329" s="113" t="s">
        <v>574</v>
      </c>
      <c r="B329" s="113" t="s">
        <v>288</v>
      </c>
      <c r="C329" s="113" t="s">
        <v>1017</v>
      </c>
      <c r="D329" s="113" t="s">
        <v>78</v>
      </c>
      <c r="E329" s="113" t="s">
        <v>1235</v>
      </c>
    </row>
    <row r="330" spans="1:5" ht="15" customHeight="1" x14ac:dyDescent="0.25">
      <c r="A330" s="113" t="s">
        <v>574</v>
      </c>
      <c r="B330" s="113" t="s">
        <v>288</v>
      </c>
      <c r="C330" s="114" t="s">
        <v>1026</v>
      </c>
      <c r="D330" s="113" t="s">
        <v>1027</v>
      </c>
      <c r="E330" s="113" t="s">
        <v>1213</v>
      </c>
    </row>
    <row r="331" spans="1:5" ht="15" customHeight="1" x14ac:dyDescent="0.25">
      <c r="A331" s="113" t="s">
        <v>598</v>
      </c>
      <c r="B331" s="113" t="s">
        <v>240</v>
      </c>
      <c r="C331" s="113" t="s">
        <v>1017</v>
      </c>
      <c r="D331" s="113" t="s">
        <v>1043</v>
      </c>
      <c r="E331" s="113" t="s">
        <v>1044</v>
      </c>
    </row>
    <row r="332" spans="1:5" ht="15" customHeight="1" x14ac:dyDescent="0.25">
      <c r="A332" s="113" t="s">
        <v>598</v>
      </c>
      <c r="B332" s="113" t="s">
        <v>240</v>
      </c>
      <c r="C332" s="113" t="s">
        <v>1017</v>
      </c>
      <c r="D332" s="113" t="s">
        <v>1018</v>
      </c>
      <c r="E332" s="113" t="s">
        <v>1093</v>
      </c>
    </row>
    <row r="333" spans="1:5" ht="15" customHeight="1" x14ac:dyDescent="0.25">
      <c r="A333" s="113" t="s">
        <v>598</v>
      </c>
      <c r="B333" s="113" t="s">
        <v>240</v>
      </c>
      <c r="C333" s="113" t="s">
        <v>1017</v>
      </c>
      <c r="D333" s="113" t="s">
        <v>78</v>
      </c>
      <c r="E333" s="113" t="s">
        <v>1236</v>
      </c>
    </row>
    <row r="334" spans="1:5" ht="15" customHeight="1" x14ac:dyDescent="0.25">
      <c r="A334" s="113" t="s">
        <v>598</v>
      </c>
      <c r="B334" s="113" t="s">
        <v>240</v>
      </c>
      <c r="C334" s="114" t="s">
        <v>1026</v>
      </c>
      <c r="D334" s="113" t="s">
        <v>1027</v>
      </c>
      <c r="E334" s="113" t="s">
        <v>1237</v>
      </c>
    </row>
    <row r="335" spans="1:5" ht="25.5" customHeight="1" x14ac:dyDescent="0.25">
      <c r="A335" s="113" t="s">
        <v>596</v>
      </c>
      <c r="B335" s="113" t="s">
        <v>321</v>
      </c>
      <c r="C335" s="113" t="s">
        <v>1017</v>
      </c>
      <c r="D335" s="113" t="s">
        <v>1043</v>
      </c>
      <c r="E335" s="113" t="s">
        <v>1044</v>
      </c>
    </row>
    <row r="336" spans="1:5" ht="25.5" customHeight="1" x14ac:dyDescent="0.25">
      <c r="A336" s="113" t="s">
        <v>596</v>
      </c>
      <c r="B336" s="113" t="s">
        <v>321</v>
      </c>
      <c r="C336" s="113" t="s">
        <v>1017</v>
      </c>
      <c r="D336" s="113" t="s">
        <v>78</v>
      </c>
      <c r="E336" s="113" t="s">
        <v>1238</v>
      </c>
    </row>
    <row r="337" spans="1:5" ht="25.5" customHeight="1" x14ac:dyDescent="0.25">
      <c r="A337" s="113" t="s">
        <v>596</v>
      </c>
      <c r="B337" s="113" t="s">
        <v>321</v>
      </c>
      <c r="C337" s="114" t="s">
        <v>1026</v>
      </c>
      <c r="D337" s="113" t="s">
        <v>1027</v>
      </c>
      <c r="E337" s="113" t="s">
        <v>1239</v>
      </c>
    </row>
    <row r="338" spans="1:5" ht="25.5" customHeight="1" x14ac:dyDescent="0.25">
      <c r="A338" s="113" t="s">
        <v>495</v>
      </c>
      <c r="B338" s="113" t="s">
        <v>183</v>
      </c>
      <c r="C338" s="113" t="s">
        <v>1017</v>
      </c>
      <c r="D338" s="113" t="s">
        <v>78</v>
      </c>
      <c r="E338" s="113" t="s">
        <v>1240</v>
      </c>
    </row>
    <row r="339" spans="1:5" ht="25.5" customHeight="1" x14ac:dyDescent="0.25">
      <c r="A339" s="113" t="s">
        <v>495</v>
      </c>
      <c r="B339" s="113" t="s">
        <v>183</v>
      </c>
      <c r="C339" s="113" t="s">
        <v>1021</v>
      </c>
      <c r="D339" s="113" t="s">
        <v>1021</v>
      </c>
      <c r="E339" s="113" t="s">
        <v>1126</v>
      </c>
    </row>
    <row r="340" spans="1:5" ht="25.5" customHeight="1" x14ac:dyDescent="0.25">
      <c r="A340" s="113" t="s">
        <v>495</v>
      </c>
      <c r="B340" s="113" t="s">
        <v>183</v>
      </c>
      <c r="C340" s="113" t="s">
        <v>1017</v>
      </c>
      <c r="D340" s="113" t="s">
        <v>1024</v>
      </c>
      <c r="E340" s="113" t="s">
        <v>1025</v>
      </c>
    </row>
    <row r="341" spans="1:5" ht="25.5" customHeight="1" x14ac:dyDescent="0.25">
      <c r="A341" s="113" t="s">
        <v>495</v>
      </c>
      <c r="B341" s="113" t="s">
        <v>183</v>
      </c>
      <c r="C341" s="114" t="s">
        <v>1026</v>
      </c>
      <c r="D341" s="113" t="s">
        <v>1027</v>
      </c>
      <c r="E341" s="113" t="s">
        <v>1233</v>
      </c>
    </row>
    <row r="342" spans="1:5" ht="25.5" customHeight="1" x14ac:dyDescent="0.25">
      <c r="A342" s="113" t="s">
        <v>495</v>
      </c>
      <c r="B342" s="113" t="s">
        <v>183</v>
      </c>
      <c r="C342" s="113" t="s">
        <v>1017</v>
      </c>
      <c r="D342" s="113" t="s">
        <v>78</v>
      </c>
      <c r="E342" s="113" t="s">
        <v>1241</v>
      </c>
    </row>
    <row r="343" spans="1:5" ht="25.5" customHeight="1" x14ac:dyDescent="0.25">
      <c r="A343" s="113" t="s">
        <v>438</v>
      </c>
      <c r="B343" s="113" t="s">
        <v>83</v>
      </c>
      <c r="C343" s="113" t="s">
        <v>1017</v>
      </c>
      <c r="D343" s="113" t="s">
        <v>78</v>
      </c>
      <c r="E343" s="113" t="s">
        <v>1242</v>
      </c>
    </row>
    <row r="344" spans="1:5" ht="15" customHeight="1" x14ac:dyDescent="0.25">
      <c r="A344" s="113" t="s">
        <v>438</v>
      </c>
      <c r="B344" s="113" t="s">
        <v>83</v>
      </c>
      <c r="C344" s="113" t="s">
        <v>1017</v>
      </c>
      <c r="D344" s="113" t="s">
        <v>1018</v>
      </c>
      <c r="E344" s="113" t="s">
        <v>1243</v>
      </c>
    </row>
    <row r="345" spans="1:5" ht="15" customHeight="1" x14ac:dyDescent="0.25">
      <c r="A345" s="113" t="s">
        <v>438</v>
      </c>
      <c r="B345" s="113" t="s">
        <v>83</v>
      </c>
      <c r="C345" s="113" t="s">
        <v>1017</v>
      </c>
      <c r="D345" s="113" t="s">
        <v>78</v>
      </c>
      <c r="E345" s="113" t="s">
        <v>1244</v>
      </c>
    </row>
    <row r="346" spans="1:5" ht="15" customHeight="1" x14ac:dyDescent="0.25">
      <c r="A346" s="113" t="s">
        <v>438</v>
      </c>
      <c r="B346" s="113" t="s">
        <v>83</v>
      </c>
      <c r="C346" s="113" t="s">
        <v>1021</v>
      </c>
      <c r="D346" s="113" t="s">
        <v>1021</v>
      </c>
      <c r="E346" s="113" t="s">
        <v>1245</v>
      </c>
    </row>
    <row r="347" spans="1:5" ht="15" customHeight="1" x14ac:dyDescent="0.25">
      <c r="A347" s="113" t="s">
        <v>438</v>
      </c>
      <c r="B347" s="113" t="s">
        <v>83</v>
      </c>
      <c r="C347" s="113" t="s">
        <v>1017</v>
      </c>
      <c r="D347" s="113" t="s">
        <v>78</v>
      </c>
      <c r="E347" s="113" t="s">
        <v>1246</v>
      </c>
    </row>
    <row r="348" spans="1:5" ht="15" customHeight="1" x14ac:dyDescent="0.25">
      <c r="A348" s="113" t="s">
        <v>438</v>
      </c>
      <c r="B348" s="113" t="s">
        <v>83</v>
      </c>
      <c r="C348" s="114" t="s">
        <v>1026</v>
      </c>
      <c r="D348" s="113" t="s">
        <v>1027</v>
      </c>
      <c r="E348" s="113" t="s">
        <v>1247</v>
      </c>
    </row>
    <row r="349" spans="1:5" ht="25.5" customHeight="1" x14ac:dyDescent="0.25">
      <c r="A349" s="113" t="s">
        <v>438</v>
      </c>
      <c r="B349" s="113" t="s">
        <v>83</v>
      </c>
      <c r="C349" s="113" t="s">
        <v>1017</v>
      </c>
      <c r="D349" s="113" t="s">
        <v>78</v>
      </c>
      <c r="E349" s="113" t="s">
        <v>1248</v>
      </c>
    </row>
    <row r="350" spans="1:5" ht="15" customHeight="1" x14ac:dyDescent="0.25">
      <c r="A350" s="113" t="s">
        <v>438</v>
      </c>
      <c r="B350" s="113" t="s">
        <v>83</v>
      </c>
      <c r="C350" s="113" t="s">
        <v>1017</v>
      </c>
      <c r="D350" s="113" t="s">
        <v>1024</v>
      </c>
      <c r="E350" s="113" t="s">
        <v>1025</v>
      </c>
    </row>
    <row r="351" spans="1:5" ht="15" customHeight="1" x14ac:dyDescent="0.25">
      <c r="A351" s="113" t="s">
        <v>438</v>
      </c>
      <c r="B351" s="113" t="s">
        <v>83</v>
      </c>
      <c r="C351" s="113" t="s">
        <v>1017</v>
      </c>
      <c r="D351" s="113" t="s">
        <v>78</v>
      </c>
      <c r="E351" s="113" t="s">
        <v>1249</v>
      </c>
    </row>
    <row r="352" spans="1:5" ht="15" customHeight="1" x14ac:dyDescent="0.25">
      <c r="A352" s="113" t="s">
        <v>438</v>
      </c>
      <c r="B352" s="113" t="s">
        <v>83</v>
      </c>
      <c r="C352" s="114" t="s">
        <v>1026</v>
      </c>
      <c r="D352" s="113" t="s">
        <v>1027</v>
      </c>
      <c r="E352" s="113" t="s">
        <v>1250</v>
      </c>
    </row>
    <row r="353" spans="1:5" ht="15" customHeight="1" x14ac:dyDescent="0.25">
      <c r="A353" s="113" t="s">
        <v>438</v>
      </c>
      <c r="B353" s="113" t="s">
        <v>83</v>
      </c>
      <c r="C353" s="113" t="s">
        <v>1017</v>
      </c>
      <c r="D353" s="113" t="s">
        <v>78</v>
      </c>
      <c r="E353" s="113" t="s">
        <v>1251</v>
      </c>
    </row>
    <row r="354" spans="1:5" ht="15" customHeight="1" x14ac:dyDescent="0.25">
      <c r="A354" s="113" t="s">
        <v>555</v>
      </c>
      <c r="B354" s="113" t="s">
        <v>260</v>
      </c>
      <c r="C354" s="113" t="s">
        <v>1017</v>
      </c>
      <c r="D354" s="113" t="s">
        <v>1043</v>
      </c>
      <c r="E354" s="113" t="s">
        <v>1044</v>
      </c>
    </row>
    <row r="355" spans="1:5" ht="15" customHeight="1" x14ac:dyDescent="0.25">
      <c r="A355" s="113" t="s">
        <v>555</v>
      </c>
      <c r="B355" s="113" t="s">
        <v>260</v>
      </c>
      <c r="C355" s="113" t="s">
        <v>1017</v>
      </c>
      <c r="D355" s="113" t="s">
        <v>78</v>
      </c>
      <c r="E355" s="113" t="s">
        <v>1252</v>
      </c>
    </row>
    <row r="356" spans="1:5" ht="15" customHeight="1" x14ac:dyDescent="0.25">
      <c r="A356" s="113" t="s">
        <v>555</v>
      </c>
      <c r="B356" s="113" t="s">
        <v>260</v>
      </c>
      <c r="C356" s="113" t="s">
        <v>1017</v>
      </c>
      <c r="D356" s="113" t="s">
        <v>1018</v>
      </c>
      <c r="E356" s="113" t="s">
        <v>1047</v>
      </c>
    </row>
    <row r="357" spans="1:5" ht="15" customHeight="1" x14ac:dyDescent="0.25">
      <c r="A357" s="113" t="s">
        <v>555</v>
      </c>
      <c r="B357" s="113" t="s">
        <v>260</v>
      </c>
      <c r="C357" s="114" t="s">
        <v>1026</v>
      </c>
      <c r="D357" s="113" t="s">
        <v>1027</v>
      </c>
      <c r="E357" s="113" t="s">
        <v>1253</v>
      </c>
    </row>
    <row r="358" spans="1:5" ht="15" customHeight="1" x14ac:dyDescent="0.25">
      <c r="A358" s="113" t="s">
        <v>523</v>
      </c>
      <c r="B358" s="113" t="s">
        <v>217</v>
      </c>
      <c r="C358" s="113" t="s">
        <v>1017</v>
      </c>
      <c r="D358" s="113" t="s">
        <v>1043</v>
      </c>
      <c r="E358" s="113" t="s">
        <v>1044</v>
      </c>
    </row>
    <row r="359" spans="1:5" ht="15" customHeight="1" x14ac:dyDescent="0.25">
      <c r="A359" s="113" t="s">
        <v>523</v>
      </c>
      <c r="B359" s="113" t="s">
        <v>217</v>
      </c>
      <c r="C359" s="113" t="s">
        <v>1017</v>
      </c>
      <c r="D359" s="113" t="s">
        <v>78</v>
      </c>
      <c r="E359" s="113" t="s">
        <v>1254</v>
      </c>
    </row>
    <row r="360" spans="1:5" ht="15" customHeight="1" x14ac:dyDescent="0.25">
      <c r="A360" s="113" t="s">
        <v>523</v>
      </c>
      <c r="B360" s="113" t="s">
        <v>217</v>
      </c>
      <c r="C360" s="114" t="s">
        <v>1026</v>
      </c>
      <c r="D360" s="113" t="s">
        <v>1027</v>
      </c>
      <c r="E360" s="113" t="s">
        <v>1255</v>
      </c>
    </row>
    <row r="361" spans="1:5" ht="25.5" customHeight="1" x14ac:dyDescent="0.25">
      <c r="A361" s="113" t="s">
        <v>577</v>
      </c>
      <c r="B361" s="113" t="s">
        <v>293</v>
      </c>
      <c r="C361" s="113" t="s">
        <v>1017</v>
      </c>
      <c r="D361" s="113" t="s">
        <v>1043</v>
      </c>
      <c r="E361" s="113" t="s">
        <v>1044</v>
      </c>
    </row>
    <row r="362" spans="1:5" ht="25.5" customHeight="1" x14ac:dyDescent="0.25">
      <c r="A362" s="113" t="s">
        <v>577</v>
      </c>
      <c r="B362" s="113" t="s">
        <v>293</v>
      </c>
      <c r="C362" s="113" t="s">
        <v>1017</v>
      </c>
      <c r="D362" s="113" t="s">
        <v>78</v>
      </c>
      <c r="E362" s="113" t="s">
        <v>1256</v>
      </c>
    </row>
    <row r="363" spans="1:5" ht="25.5" customHeight="1" x14ac:dyDescent="0.25">
      <c r="A363" s="113" t="s">
        <v>577</v>
      </c>
      <c r="B363" s="113" t="s">
        <v>293</v>
      </c>
      <c r="C363" s="114" t="s">
        <v>1026</v>
      </c>
      <c r="D363" s="113" t="s">
        <v>1027</v>
      </c>
      <c r="E363" s="113" t="s">
        <v>1257</v>
      </c>
    </row>
    <row r="364" spans="1:5" ht="15" customHeight="1" x14ac:dyDescent="0.25">
      <c r="A364" s="113" t="s">
        <v>629</v>
      </c>
      <c r="B364" s="113" t="s">
        <v>363</v>
      </c>
      <c r="C364" s="113" t="s">
        <v>1017</v>
      </c>
      <c r="D364" s="113" t="s">
        <v>1043</v>
      </c>
      <c r="E364" s="113" t="s">
        <v>1044</v>
      </c>
    </row>
    <row r="365" spans="1:5" ht="15" customHeight="1" x14ac:dyDescent="0.25">
      <c r="A365" s="113" t="s">
        <v>629</v>
      </c>
      <c r="B365" s="113" t="s">
        <v>363</v>
      </c>
      <c r="C365" s="113" t="s">
        <v>1017</v>
      </c>
      <c r="D365" s="113" t="s">
        <v>78</v>
      </c>
      <c r="E365" s="113" t="s">
        <v>1258</v>
      </c>
    </row>
    <row r="366" spans="1:5" ht="15" customHeight="1" x14ac:dyDescent="0.25">
      <c r="A366" s="113" t="s">
        <v>629</v>
      </c>
      <c r="B366" s="113" t="s">
        <v>363</v>
      </c>
      <c r="C366" s="114" t="s">
        <v>1026</v>
      </c>
      <c r="D366" s="113" t="s">
        <v>1027</v>
      </c>
      <c r="E366" s="113" t="s">
        <v>1259</v>
      </c>
    </row>
    <row r="367" spans="1:5" ht="25.5" customHeight="1" x14ac:dyDescent="0.25">
      <c r="A367" s="113" t="s">
        <v>632</v>
      </c>
      <c r="B367" s="113" t="s">
        <v>367</v>
      </c>
      <c r="C367" s="113" t="s">
        <v>1017</v>
      </c>
      <c r="D367" s="113" t="s">
        <v>1043</v>
      </c>
      <c r="E367" s="113" t="s">
        <v>1044</v>
      </c>
    </row>
    <row r="368" spans="1:5" ht="25.5" customHeight="1" x14ac:dyDescent="0.25">
      <c r="A368" s="113" t="s">
        <v>632</v>
      </c>
      <c r="B368" s="113" t="s">
        <v>367</v>
      </c>
      <c r="C368" s="113" t="s">
        <v>1017</v>
      </c>
      <c r="D368" s="113" t="s">
        <v>78</v>
      </c>
      <c r="E368" s="113" t="s">
        <v>1260</v>
      </c>
    </row>
    <row r="369" spans="1:5" ht="25.5" customHeight="1" x14ac:dyDescent="0.25">
      <c r="A369" s="113" t="s">
        <v>632</v>
      </c>
      <c r="B369" s="113" t="s">
        <v>367</v>
      </c>
      <c r="C369" s="114" t="s">
        <v>1026</v>
      </c>
      <c r="D369" s="113" t="s">
        <v>1027</v>
      </c>
      <c r="E369" s="113" t="s">
        <v>1261</v>
      </c>
    </row>
    <row r="370" spans="1:5" ht="15" customHeight="1" x14ac:dyDescent="0.25">
      <c r="A370" s="113" t="s">
        <v>507</v>
      </c>
      <c r="B370" s="113" t="s">
        <v>199</v>
      </c>
      <c r="C370" s="113" t="s">
        <v>1017</v>
      </c>
      <c r="D370" s="113" t="s">
        <v>1043</v>
      </c>
      <c r="E370" s="113" t="s">
        <v>1044</v>
      </c>
    </row>
    <row r="371" spans="1:5" ht="15" customHeight="1" x14ac:dyDescent="0.25">
      <c r="A371" s="113" t="s">
        <v>507</v>
      </c>
      <c r="B371" s="113" t="s">
        <v>199</v>
      </c>
      <c r="C371" s="113" t="s">
        <v>1017</v>
      </c>
      <c r="D371" s="113" t="s">
        <v>1018</v>
      </c>
      <c r="E371" s="113" t="s">
        <v>1093</v>
      </c>
    </row>
    <row r="372" spans="1:5" ht="15" customHeight="1" x14ac:dyDescent="0.25">
      <c r="A372" s="113" t="s">
        <v>507</v>
      </c>
      <c r="B372" s="113" t="s">
        <v>199</v>
      </c>
      <c r="C372" s="113" t="s">
        <v>1017</v>
      </c>
      <c r="D372" s="113" t="s">
        <v>78</v>
      </c>
      <c r="E372" s="113" t="s">
        <v>1262</v>
      </c>
    </row>
    <row r="373" spans="1:5" ht="15" customHeight="1" x14ac:dyDescent="0.25">
      <c r="A373" s="113" t="s">
        <v>507</v>
      </c>
      <c r="B373" s="113" t="s">
        <v>199</v>
      </c>
      <c r="C373" s="114" t="s">
        <v>1026</v>
      </c>
      <c r="D373" s="113" t="s">
        <v>1027</v>
      </c>
      <c r="E373" s="113" t="s">
        <v>1158</v>
      </c>
    </row>
    <row r="374" spans="1:5" ht="15" customHeight="1" x14ac:dyDescent="0.25">
      <c r="A374" s="113" t="s">
        <v>606</v>
      </c>
      <c r="B374" s="113" t="s">
        <v>332</v>
      </c>
      <c r="C374" s="113" t="s">
        <v>1017</v>
      </c>
      <c r="D374" s="113" t="s">
        <v>78</v>
      </c>
      <c r="E374" s="113" t="s">
        <v>1263</v>
      </c>
    </row>
    <row r="375" spans="1:5" ht="15" customHeight="1" x14ac:dyDescent="0.25">
      <c r="A375" s="113" t="s">
        <v>606</v>
      </c>
      <c r="B375" s="113" t="s">
        <v>332</v>
      </c>
      <c r="C375" s="113" t="s">
        <v>1021</v>
      </c>
      <c r="D375" s="113" t="s">
        <v>1021</v>
      </c>
      <c r="E375" s="113" t="s">
        <v>1054</v>
      </c>
    </row>
    <row r="376" spans="1:5" ht="15" customHeight="1" x14ac:dyDescent="0.25">
      <c r="A376" s="113" t="s">
        <v>606</v>
      </c>
      <c r="B376" s="113" t="s">
        <v>332</v>
      </c>
      <c r="C376" s="114" t="s">
        <v>1026</v>
      </c>
      <c r="D376" s="113" t="s">
        <v>1027</v>
      </c>
      <c r="E376" s="113" t="s">
        <v>1264</v>
      </c>
    </row>
    <row r="377" spans="1:5" ht="15" customHeight="1" x14ac:dyDescent="0.25">
      <c r="A377" s="113" t="s">
        <v>606</v>
      </c>
      <c r="B377" s="113" t="s">
        <v>332</v>
      </c>
      <c r="C377" s="113" t="s">
        <v>1017</v>
      </c>
      <c r="D377" s="113" t="s">
        <v>78</v>
      </c>
      <c r="E377" s="113" t="s">
        <v>1265</v>
      </c>
    </row>
    <row r="378" spans="1:5" ht="25.5" customHeight="1" x14ac:dyDescent="0.25">
      <c r="A378" s="113" t="s">
        <v>485</v>
      </c>
      <c r="B378" s="113" t="s">
        <v>167</v>
      </c>
      <c r="C378" s="113" t="s">
        <v>1017</v>
      </c>
      <c r="D378" s="113" t="s">
        <v>78</v>
      </c>
      <c r="E378" s="113" t="s">
        <v>1266</v>
      </c>
    </row>
    <row r="379" spans="1:5" ht="25.5" customHeight="1" x14ac:dyDescent="0.25">
      <c r="A379" s="113" t="s">
        <v>485</v>
      </c>
      <c r="B379" s="113" t="s">
        <v>167</v>
      </c>
      <c r="C379" s="113" t="s">
        <v>1021</v>
      </c>
      <c r="D379" s="113" t="s">
        <v>1021</v>
      </c>
      <c r="E379" s="113" t="s">
        <v>1067</v>
      </c>
    </row>
    <row r="380" spans="1:5" ht="25.5" customHeight="1" x14ac:dyDescent="0.25">
      <c r="A380" s="113" t="s">
        <v>485</v>
      </c>
      <c r="B380" s="113" t="s">
        <v>167</v>
      </c>
      <c r="C380" s="113" t="s">
        <v>1017</v>
      </c>
      <c r="D380" s="113" t="s">
        <v>78</v>
      </c>
      <c r="E380" s="113" t="s">
        <v>1267</v>
      </c>
    </row>
    <row r="381" spans="1:5" ht="25.5" customHeight="1" x14ac:dyDescent="0.25">
      <c r="A381" s="113" t="s">
        <v>485</v>
      </c>
      <c r="B381" s="113" t="s">
        <v>167</v>
      </c>
      <c r="C381" s="113" t="s">
        <v>1017</v>
      </c>
      <c r="D381" s="113" t="s">
        <v>1024</v>
      </c>
      <c r="E381" s="113" t="s">
        <v>1025</v>
      </c>
    </row>
    <row r="382" spans="1:5" ht="25.5" customHeight="1" x14ac:dyDescent="0.25">
      <c r="A382" s="113" t="s">
        <v>485</v>
      </c>
      <c r="B382" s="113" t="s">
        <v>167</v>
      </c>
      <c r="C382" s="114" t="s">
        <v>1026</v>
      </c>
      <c r="D382" s="113" t="s">
        <v>1027</v>
      </c>
      <c r="E382" s="113" t="s">
        <v>1268</v>
      </c>
    </row>
    <row r="383" spans="1:5" ht="25.5" customHeight="1" x14ac:dyDescent="0.25">
      <c r="A383" s="113" t="s">
        <v>485</v>
      </c>
      <c r="B383" s="113" t="s">
        <v>167</v>
      </c>
      <c r="C383" s="113" t="s">
        <v>1017</v>
      </c>
      <c r="D383" s="113" t="s">
        <v>78</v>
      </c>
      <c r="E383" s="113" t="s">
        <v>1269</v>
      </c>
    </row>
    <row r="384" spans="1:5" ht="25.5" customHeight="1" x14ac:dyDescent="0.25">
      <c r="A384" s="113" t="s">
        <v>486</v>
      </c>
      <c r="B384" s="113" t="s">
        <v>168</v>
      </c>
      <c r="C384" s="113" t="s">
        <v>1017</v>
      </c>
      <c r="D384" s="113" t="s">
        <v>78</v>
      </c>
      <c r="E384" s="113" t="s">
        <v>1266</v>
      </c>
    </row>
    <row r="385" spans="1:5" ht="25.5" customHeight="1" x14ac:dyDescent="0.25">
      <c r="A385" s="113" t="s">
        <v>486</v>
      </c>
      <c r="B385" s="113" t="s">
        <v>168</v>
      </c>
      <c r="C385" s="113" t="s">
        <v>1021</v>
      </c>
      <c r="D385" s="113" t="s">
        <v>1021</v>
      </c>
      <c r="E385" s="113" t="s">
        <v>1067</v>
      </c>
    </row>
    <row r="386" spans="1:5" ht="25.5" customHeight="1" x14ac:dyDescent="0.25">
      <c r="A386" s="113" t="s">
        <v>486</v>
      </c>
      <c r="B386" s="113" t="s">
        <v>168</v>
      </c>
      <c r="C386" s="113" t="s">
        <v>1017</v>
      </c>
      <c r="D386" s="113" t="s">
        <v>78</v>
      </c>
      <c r="E386" s="113" t="s">
        <v>1270</v>
      </c>
    </row>
    <row r="387" spans="1:5" ht="25.5" customHeight="1" x14ac:dyDescent="0.25">
      <c r="A387" s="113" t="s">
        <v>486</v>
      </c>
      <c r="B387" s="113" t="s">
        <v>168</v>
      </c>
      <c r="C387" s="113" t="s">
        <v>1017</v>
      </c>
      <c r="D387" s="113" t="s">
        <v>1024</v>
      </c>
      <c r="E387" s="113" t="s">
        <v>1025</v>
      </c>
    </row>
    <row r="388" spans="1:5" ht="25.5" customHeight="1" x14ac:dyDescent="0.25">
      <c r="A388" s="113" t="s">
        <v>486</v>
      </c>
      <c r="B388" s="113" t="s">
        <v>168</v>
      </c>
      <c r="C388" s="114" t="s">
        <v>1026</v>
      </c>
      <c r="D388" s="113" t="s">
        <v>1027</v>
      </c>
      <c r="E388" s="113" t="s">
        <v>1271</v>
      </c>
    </row>
    <row r="389" spans="1:5" ht="25.5" customHeight="1" x14ac:dyDescent="0.25">
      <c r="A389" s="113" t="s">
        <v>486</v>
      </c>
      <c r="B389" s="113" t="s">
        <v>168</v>
      </c>
      <c r="C389" s="113" t="s">
        <v>1017</v>
      </c>
      <c r="D389" s="113" t="s">
        <v>78</v>
      </c>
      <c r="E389" s="113" t="s">
        <v>1272</v>
      </c>
    </row>
    <row r="390" spans="1:5" ht="15" customHeight="1" x14ac:dyDescent="0.25">
      <c r="A390" s="113" t="s">
        <v>590</v>
      </c>
      <c r="B390" s="113" t="s">
        <v>312</v>
      </c>
      <c r="C390" s="113" t="s">
        <v>1017</v>
      </c>
      <c r="D390" s="113" t="s">
        <v>1043</v>
      </c>
      <c r="E390" s="113" t="s">
        <v>1044</v>
      </c>
    </row>
    <row r="391" spans="1:5" ht="15" customHeight="1" x14ac:dyDescent="0.25">
      <c r="A391" s="113" t="s">
        <v>590</v>
      </c>
      <c r="B391" s="113" t="s">
        <v>312</v>
      </c>
      <c r="C391" s="113" t="s">
        <v>1017</v>
      </c>
      <c r="D391" s="113" t="s">
        <v>78</v>
      </c>
      <c r="E391" s="113" t="s">
        <v>1273</v>
      </c>
    </row>
    <row r="392" spans="1:5" ht="15" customHeight="1" x14ac:dyDescent="0.25">
      <c r="A392" s="113" t="s">
        <v>500</v>
      </c>
      <c r="B392" s="113" t="s">
        <v>189</v>
      </c>
      <c r="C392" s="113" t="s">
        <v>1017</v>
      </c>
      <c r="D392" s="113" t="s">
        <v>1043</v>
      </c>
      <c r="E392" s="113" t="s">
        <v>1044</v>
      </c>
    </row>
    <row r="393" spans="1:5" ht="15" customHeight="1" x14ac:dyDescent="0.25">
      <c r="A393" s="113" t="s">
        <v>500</v>
      </c>
      <c r="B393" s="113" t="s">
        <v>189</v>
      </c>
      <c r="C393" s="113" t="s">
        <v>1017</v>
      </c>
      <c r="D393" s="113" t="s">
        <v>78</v>
      </c>
      <c r="E393" s="113" t="s">
        <v>1274</v>
      </c>
    </row>
    <row r="394" spans="1:5" ht="15" customHeight="1" x14ac:dyDescent="0.25">
      <c r="A394" s="113" t="s">
        <v>500</v>
      </c>
      <c r="B394" s="113" t="s">
        <v>189</v>
      </c>
      <c r="C394" s="114" t="s">
        <v>1026</v>
      </c>
      <c r="D394" s="113" t="s">
        <v>1027</v>
      </c>
      <c r="E394" s="113" t="s">
        <v>1275</v>
      </c>
    </row>
    <row r="395" spans="1:5" ht="15" customHeight="1" x14ac:dyDescent="0.25">
      <c r="A395" s="113" t="s">
        <v>516</v>
      </c>
      <c r="B395" s="113" t="s">
        <v>210</v>
      </c>
      <c r="C395" s="113" t="s">
        <v>1017</v>
      </c>
      <c r="D395" s="113" t="s">
        <v>1043</v>
      </c>
      <c r="E395" s="113" t="s">
        <v>1044</v>
      </c>
    </row>
    <row r="396" spans="1:5" ht="15" customHeight="1" x14ac:dyDescent="0.25">
      <c r="A396" s="113" t="s">
        <v>516</v>
      </c>
      <c r="B396" s="113" t="s">
        <v>210</v>
      </c>
      <c r="C396" s="113" t="s">
        <v>1017</v>
      </c>
      <c r="D396" s="113" t="s">
        <v>78</v>
      </c>
      <c r="E396" s="113" t="s">
        <v>1276</v>
      </c>
    </row>
    <row r="397" spans="1:5" ht="15" customHeight="1" x14ac:dyDescent="0.25">
      <c r="A397" s="113" t="s">
        <v>516</v>
      </c>
      <c r="B397" s="113" t="s">
        <v>210</v>
      </c>
      <c r="C397" s="114" t="s">
        <v>1026</v>
      </c>
      <c r="D397" s="113" t="s">
        <v>1027</v>
      </c>
      <c r="E397" s="113" t="s">
        <v>1239</v>
      </c>
    </row>
    <row r="398" spans="1:5" ht="15" customHeight="1" x14ac:dyDescent="0.25">
      <c r="A398" s="113" t="s">
        <v>490</v>
      </c>
      <c r="B398" s="113" t="s">
        <v>174</v>
      </c>
      <c r="C398" s="113" t="s">
        <v>1017</v>
      </c>
      <c r="D398" s="113" t="s">
        <v>1043</v>
      </c>
      <c r="E398" s="113" t="s">
        <v>1044</v>
      </c>
    </row>
    <row r="399" spans="1:5" ht="15" customHeight="1" x14ac:dyDescent="0.25">
      <c r="A399" s="113" t="s">
        <v>490</v>
      </c>
      <c r="B399" s="113" t="s">
        <v>174</v>
      </c>
      <c r="C399" s="113" t="s">
        <v>1017</v>
      </c>
      <c r="D399" s="113" t="s">
        <v>78</v>
      </c>
      <c r="E399" s="113" t="s">
        <v>1277</v>
      </c>
    </row>
    <row r="400" spans="1:5" ht="15" customHeight="1" x14ac:dyDescent="0.25">
      <c r="A400" s="113" t="s">
        <v>490</v>
      </c>
      <c r="B400" s="113" t="s">
        <v>174</v>
      </c>
      <c r="C400" s="114" t="s">
        <v>1026</v>
      </c>
      <c r="D400" s="113" t="s">
        <v>1027</v>
      </c>
      <c r="E400" s="113" t="s">
        <v>1278</v>
      </c>
    </row>
    <row r="401" spans="1:5" ht="15" customHeight="1" x14ac:dyDescent="0.25">
      <c r="A401" s="113" t="s">
        <v>503</v>
      </c>
      <c r="B401" s="113" t="s">
        <v>195</v>
      </c>
      <c r="C401" s="113" t="s">
        <v>1017</v>
      </c>
      <c r="D401" s="113" t="s">
        <v>1043</v>
      </c>
      <c r="E401" s="113" t="s">
        <v>1044</v>
      </c>
    </row>
    <row r="402" spans="1:5" ht="15" customHeight="1" x14ac:dyDescent="0.25">
      <c r="A402" s="113" t="s">
        <v>503</v>
      </c>
      <c r="B402" s="113" t="s">
        <v>195</v>
      </c>
      <c r="C402" s="113" t="s">
        <v>1017</v>
      </c>
      <c r="D402" s="113" t="s">
        <v>1018</v>
      </c>
      <c r="E402" s="113" t="s">
        <v>1093</v>
      </c>
    </row>
    <row r="403" spans="1:5" ht="15" customHeight="1" x14ac:dyDescent="0.25">
      <c r="A403" s="113" t="s">
        <v>503</v>
      </c>
      <c r="B403" s="113" t="s">
        <v>195</v>
      </c>
      <c r="C403" s="113" t="s">
        <v>1017</v>
      </c>
      <c r="D403" s="113" t="s">
        <v>78</v>
      </c>
      <c r="E403" s="113" t="s">
        <v>1279</v>
      </c>
    </row>
    <row r="404" spans="1:5" ht="15" customHeight="1" x14ac:dyDescent="0.25">
      <c r="A404" s="113" t="s">
        <v>503</v>
      </c>
      <c r="B404" s="113" t="s">
        <v>195</v>
      </c>
      <c r="C404" s="114" t="s">
        <v>1026</v>
      </c>
      <c r="D404" s="113" t="s">
        <v>1027</v>
      </c>
      <c r="E404" s="113" t="s">
        <v>1280</v>
      </c>
    </row>
    <row r="405" spans="1:5" ht="15" customHeight="1" x14ac:dyDescent="0.25">
      <c r="A405" s="113" t="s">
        <v>517</v>
      </c>
      <c r="B405" s="113" t="s">
        <v>211</v>
      </c>
      <c r="C405" s="113" t="s">
        <v>1017</v>
      </c>
      <c r="D405" s="113" t="s">
        <v>1043</v>
      </c>
      <c r="E405" s="113" t="s">
        <v>1044</v>
      </c>
    </row>
    <row r="406" spans="1:5" ht="15" customHeight="1" x14ac:dyDescent="0.25">
      <c r="A406" s="113" t="s">
        <v>517</v>
      </c>
      <c r="B406" s="113" t="s">
        <v>211</v>
      </c>
      <c r="C406" s="113" t="s">
        <v>1017</v>
      </c>
      <c r="D406" s="113" t="s">
        <v>1018</v>
      </c>
      <c r="E406" s="113" t="s">
        <v>1093</v>
      </c>
    </row>
    <row r="407" spans="1:5" ht="15" customHeight="1" x14ac:dyDescent="0.25">
      <c r="A407" s="113" t="s">
        <v>517</v>
      </c>
      <c r="B407" s="113" t="s">
        <v>211</v>
      </c>
      <c r="C407" s="113" t="s">
        <v>1017</v>
      </c>
      <c r="D407" s="113" t="s">
        <v>78</v>
      </c>
      <c r="E407" s="113" t="s">
        <v>1281</v>
      </c>
    </row>
    <row r="408" spans="1:5" ht="15" customHeight="1" x14ac:dyDescent="0.25">
      <c r="A408" s="113" t="s">
        <v>517</v>
      </c>
      <c r="B408" s="113" t="s">
        <v>211</v>
      </c>
      <c r="C408" s="114" t="s">
        <v>1026</v>
      </c>
      <c r="D408" s="113" t="s">
        <v>1027</v>
      </c>
      <c r="E408" s="113" t="s">
        <v>1282</v>
      </c>
    </row>
    <row r="409" spans="1:5" ht="25.5" customHeight="1" x14ac:dyDescent="0.25">
      <c r="A409" s="113" t="s">
        <v>501</v>
      </c>
      <c r="B409" s="113" t="s">
        <v>192</v>
      </c>
      <c r="C409" s="113" t="s">
        <v>1017</v>
      </c>
      <c r="D409" s="113" t="s">
        <v>1043</v>
      </c>
      <c r="E409" s="113" t="s">
        <v>1044</v>
      </c>
    </row>
    <row r="410" spans="1:5" ht="25.5" customHeight="1" x14ac:dyDescent="0.25">
      <c r="A410" s="113" t="s">
        <v>501</v>
      </c>
      <c r="B410" s="113" t="s">
        <v>192</v>
      </c>
      <c r="C410" s="113" t="s">
        <v>1017</v>
      </c>
      <c r="D410" s="113" t="s">
        <v>78</v>
      </c>
      <c r="E410" s="113" t="s">
        <v>1283</v>
      </c>
    </row>
    <row r="411" spans="1:5" ht="25.5" customHeight="1" x14ac:dyDescent="0.25">
      <c r="A411" s="113" t="s">
        <v>501</v>
      </c>
      <c r="B411" s="113" t="s">
        <v>192</v>
      </c>
      <c r="C411" s="114" t="s">
        <v>1026</v>
      </c>
      <c r="D411" s="113" t="s">
        <v>1027</v>
      </c>
      <c r="E411" s="113" t="s">
        <v>1284</v>
      </c>
    </row>
    <row r="412" spans="1:5" ht="25.5" customHeight="1" x14ac:dyDescent="0.25">
      <c r="A412" s="113" t="s">
        <v>494</v>
      </c>
      <c r="B412" s="113" t="s">
        <v>178</v>
      </c>
      <c r="C412" s="113" t="s">
        <v>1017</v>
      </c>
      <c r="D412" s="113" t="s">
        <v>1043</v>
      </c>
      <c r="E412" s="113" t="s">
        <v>1044</v>
      </c>
    </row>
    <row r="413" spans="1:5" ht="25.5" customHeight="1" x14ac:dyDescent="0.25">
      <c r="A413" s="113" t="s">
        <v>494</v>
      </c>
      <c r="B413" s="113" t="s">
        <v>178</v>
      </c>
      <c r="C413" s="113" t="s">
        <v>1017</v>
      </c>
      <c r="D413" s="113" t="s">
        <v>78</v>
      </c>
      <c r="E413" s="113" t="s">
        <v>1285</v>
      </c>
    </row>
    <row r="414" spans="1:5" ht="25.5" customHeight="1" x14ac:dyDescent="0.25">
      <c r="A414" s="113" t="s">
        <v>494</v>
      </c>
      <c r="B414" s="113" t="s">
        <v>178</v>
      </c>
      <c r="C414" s="114" t="s">
        <v>1026</v>
      </c>
      <c r="D414" s="113" t="s">
        <v>1027</v>
      </c>
      <c r="E414" s="113" t="s">
        <v>1286</v>
      </c>
    </row>
    <row r="415" spans="1:5" ht="15" customHeight="1" x14ac:dyDescent="0.25">
      <c r="A415" s="113" t="s">
        <v>538</v>
      </c>
      <c r="B415" s="113" t="s">
        <v>235</v>
      </c>
      <c r="C415" s="113" t="s">
        <v>1017</v>
      </c>
      <c r="D415" s="113" t="s">
        <v>1043</v>
      </c>
      <c r="E415" s="113" t="s">
        <v>1044</v>
      </c>
    </row>
    <row r="416" spans="1:5" ht="15" customHeight="1" x14ac:dyDescent="0.25">
      <c r="A416" s="113" t="s">
        <v>538</v>
      </c>
      <c r="B416" s="113" t="s">
        <v>235</v>
      </c>
      <c r="C416" s="113" t="s">
        <v>1017</v>
      </c>
      <c r="D416" s="113" t="s">
        <v>78</v>
      </c>
      <c r="E416" s="113" t="s">
        <v>1287</v>
      </c>
    </row>
    <row r="417" spans="1:5" ht="15" customHeight="1" x14ac:dyDescent="0.25">
      <c r="A417" s="113" t="s">
        <v>538</v>
      </c>
      <c r="B417" s="113" t="s">
        <v>235</v>
      </c>
      <c r="C417" s="114" t="s">
        <v>1026</v>
      </c>
      <c r="D417" s="113" t="s">
        <v>1027</v>
      </c>
      <c r="E417" s="113" t="s">
        <v>1288</v>
      </c>
    </row>
    <row r="418" spans="1:5" ht="15" customHeight="1" x14ac:dyDescent="0.25">
      <c r="A418" s="113" t="s">
        <v>483</v>
      </c>
      <c r="B418" s="113" t="s">
        <v>164</v>
      </c>
      <c r="C418" s="113" t="s">
        <v>1017</v>
      </c>
      <c r="D418" s="113" t="s">
        <v>1043</v>
      </c>
      <c r="E418" s="113" t="s">
        <v>1044</v>
      </c>
    </row>
    <row r="419" spans="1:5" ht="15" customHeight="1" x14ac:dyDescent="0.25">
      <c r="A419" s="113" t="s">
        <v>483</v>
      </c>
      <c r="B419" s="113" t="s">
        <v>164</v>
      </c>
      <c r="C419" s="113" t="s">
        <v>1017</v>
      </c>
      <c r="D419" s="113" t="s">
        <v>78</v>
      </c>
      <c r="E419" s="113" t="s">
        <v>1289</v>
      </c>
    </row>
    <row r="420" spans="1:5" ht="15" customHeight="1" x14ac:dyDescent="0.25">
      <c r="A420" s="113" t="s">
        <v>483</v>
      </c>
      <c r="B420" s="113" t="s">
        <v>164</v>
      </c>
      <c r="C420" s="114" t="s">
        <v>1026</v>
      </c>
      <c r="D420" s="113" t="s">
        <v>1027</v>
      </c>
      <c r="E420" s="113" t="s">
        <v>1080</v>
      </c>
    </row>
    <row r="421" spans="1:5" ht="15" customHeight="1" x14ac:dyDescent="0.25">
      <c r="A421" s="113" t="s">
        <v>472</v>
      </c>
      <c r="B421" s="113" t="s">
        <v>150</v>
      </c>
      <c r="C421" s="113" t="s">
        <v>1017</v>
      </c>
      <c r="D421" s="113" t="s">
        <v>1043</v>
      </c>
      <c r="E421" s="113" t="s">
        <v>1044</v>
      </c>
    </row>
    <row r="422" spans="1:5" ht="15" customHeight="1" x14ac:dyDescent="0.25">
      <c r="A422" s="113" t="s">
        <v>472</v>
      </c>
      <c r="B422" s="113" t="s">
        <v>150</v>
      </c>
      <c r="C422" s="113" t="s">
        <v>1017</v>
      </c>
      <c r="D422" s="113" t="s">
        <v>78</v>
      </c>
      <c r="E422" s="113" t="s">
        <v>1290</v>
      </c>
    </row>
    <row r="423" spans="1:5" ht="15" customHeight="1" x14ac:dyDescent="0.25">
      <c r="A423" s="113" t="s">
        <v>472</v>
      </c>
      <c r="B423" s="113" t="s">
        <v>150</v>
      </c>
      <c r="C423" s="114" t="s">
        <v>1026</v>
      </c>
      <c r="D423" s="113" t="s">
        <v>1027</v>
      </c>
      <c r="E423" s="113" t="s">
        <v>1204</v>
      </c>
    </row>
    <row r="424" spans="1:5" ht="15" customHeight="1" x14ac:dyDescent="0.25">
      <c r="A424" s="113" t="s">
        <v>595</v>
      </c>
      <c r="B424" s="113" t="s">
        <v>320</v>
      </c>
      <c r="C424" s="113" t="s">
        <v>1017</v>
      </c>
      <c r="D424" s="113" t="s">
        <v>1018</v>
      </c>
      <c r="E424" s="113" t="s">
        <v>1019</v>
      </c>
    </row>
    <row r="425" spans="1:5" ht="15" customHeight="1" x14ac:dyDescent="0.25">
      <c r="A425" s="113" t="s">
        <v>595</v>
      </c>
      <c r="B425" s="113" t="s">
        <v>320</v>
      </c>
      <c r="C425" s="113" t="s">
        <v>1017</v>
      </c>
      <c r="D425" s="113" t="s">
        <v>78</v>
      </c>
      <c r="E425" s="113" t="s">
        <v>1291</v>
      </c>
    </row>
    <row r="426" spans="1:5" ht="15" customHeight="1" x14ac:dyDescent="0.25">
      <c r="A426" s="113" t="s">
        <v>595</v>
      </c>
      <c r="B426" s="113" t="s">
        <v>320</v>
      </c>
      <c r="C426" s="113" t="s">
        <v>1017</v>
      </c>
      <c r="D426" s="113" t="s">
        <v>78</v>
      </c>
      <c r="E426" s="113" t="s">
        <v>1292</v>
      </c>
    </row>
    <row r="427" spans="1:5" ht="15" customHeight="1" x14ac:dyDescent="0.25">
      <c r="A427" s="113" t="s">
        <v>595</v>
      </c>
      <c r="B427" s="113" t="s">
        <v>320</v>
      </c>
      <c r="C427" s="114" t="s">
        <v>1026</v>
      </c>
      <c r="D427" s="113" t="s">
        <v>1027</v>
      </c>
      <c r="E427" s="113" t="s">
        <v>1293</v>
      </c>
    </row>
    <row r="428" spans="1:5" ht="15" customHeight="1" x14ac:dyDescent="0.25">
      <c r="A428" s="113" t="s">
        <v>595</v>
      </c>
      <c r="B428" s="113" t="s">
        <v>320</v>
      </c>
      <c r="C428" s="114" t="s">
        <v>1026</v>
      </c>
      <c r="D428" s="113" t="s">
        <v>1027</v>
      </c>
      <c r="E428" s="113" t="s">
        <v>1294</v>
      </c>
    </row>
    <row r="429" spans="1:5" ht="25.5" customHeight="1" x14ac:dyDescent="0.25">
      <c r="A429" s="113" t="s">
        <v>603</v>
      </c>
      <c r="B429" s="113" t="s">
        <v>329</v>
      </c>
      <c r="C429" s="113" t="s">
        <v>1017</v>
      </c>
      <c r="D429" s="113" t="s">
        <v>78</v>
      </c>
      <c r="E429" s="113" t="s">
        <v>1295</v>
      </c>
    </row>
    <row r="430" spans="1:5" ht="25.5" customHeight="1" x14ac:dyDescent="0.25">
      <c r="A430" s="113" t="s">
        <v>603</v>
      </c>
      <c r="B430" s="113" t="s">
        <v>329</v>
      </c>
      <c r="C430" s="113" t="s">
        <v>1021</v>
      </c>
      <c r="D430" s="113" t="s">
        <v>1021</v>
      </c>
      <c r="E430" s="113" t="s">
        <v>1067</v>
      </c>
    </row>
    <row r="431" spans="1:5" ht="25.5" customHeight="1" x14ac:dyDescent="0.25">
      <c r="A431" s="113" t="s">
        <v>603</v>
      </c>
      <c r="B431" s="113" t="s">
        <v>329</v>
      </c>
      <c r="C431" s="113" t="s">
        <v>1017</v>
      </c>
      <c r="D431" s="113" t="s">
        <v>1024</v>
      </c>
      <c r="E431" s="113" t="s">
        <v>1025</v>
      </c>
    </row>
    <row r="432" spans="1:5" ht="25.5" customHeight="1" x14ac:dyDescent="0.25">
      <c r="A432" s="113" t="s">
        <v>603</v>
      </c>
      <c r="B432" s="113" t="s">
        <v>329</v>
      </c>
      <c r="C432" s="114" t="s">
        <v>1026</v>
      </c>
      <c r="D432" s="113" t="s">
        <v>1027</v>
      </c>
      <c r="E432" s="113" t="s">
        <v>1296</v>
      </c>
    </row>
    <row r="433" spans="1:5" ht="25.5" customHeight="1" x14ac:dyDescent="0.25">
      <c r="A433" s="113" t="s">
        <v>603</v>
      </c>
      <c r="B433" s="113" t="s">
        <v>329</v>
      </c>
      <c r="C433" s="113" t="s">
        <v>1017</v>
      </c>
      <c r="D433" s="113" t="s">
        <v>78</v>
      </c>
      <c r="E433" s="113" t="s">
        <v>1297</v>
      </c>
    </row>
    <row r="434" spans="1:5" ht="15" customHeight="1" x14ac:dyDescent="0.25">
      <c r="A434" s="113" t="s">
        <v>546</v>
      </c>
      <c r="B434" s="113" t="s">
        <v>248</v>
      </c>
      <c r="C434" s="113" t="s">
        <v>1017</v>
      </c>
      <c r="D434" s="113" t="s">
        <v>1043</v>
      </c>
      <c r="E434" s="113" t="s">
        <v>1044</v>
      </c>
    </row>
    <row r="435" spans="1:5" ht="15" customHeight="1" x14ac:dyDescent="0.25">
      <c r="A435" s="113" t="s">
        <v>546</v>
      </c>
      <c r="B435" s="113" t="s">
        <v>248</v>
      </c>
      <c r="C435" s="113" t="s">
        <v>1017</v>
      </c>
      <c r="D435" s="113" t="s">
        <v>78</v>
      </c>
      <c r="E435" s="113" t="s">
        <v>1298</v>
      </c>
    </row>
    <row r="436" spans="1:5" ht="15" customHeight="1" x14ac:dyDescent="0.25">
      <c r="A436" s="113" t="s">
        <v>546</v>
      </c>
      <c r="B436" s="113" t="s">
        <v>248</v>
      </c>
      <c r="C436" s="114" t="s">
        <v>1026</v>
      </c>
      <c r="D436" s="113" t="s">
        <v>1027</v>
      </c>
      <c r="E436" s="113" t="s">
        <v>1176</v>
      </c>
    </row>
    <row r="437" spans="1:5" ht="15" customHeight="1" x14ac:dyDescent="0.25">
      <c r="A437" s="113" t="s">
        <v>565</v>
      </c>
      <c r="B437" s="113" t="s">
        <v>276</v>
      </c>
      <c r="C437" s="113" t="s">
        <v>1017</v>
      </c>
      <c r="D437" s="113" t="s">
        <v>1043</v>
      </c>
      <c r="E437" s="113" t="s">
        <v>1044</v>
      </c>
    </row>
    <row r="438" spans="1:5" ht="15" customHeight="1" x14ac:dyDescent="0.25">
      <c r="A438" s="113" t="s">
        <v>565</v>
      </c>
      <c r="B438" s="113" t="s">
        <v>276</v>
      </c>
      <c r="C438" s="113" t="s">
        <v>1017</v>
      </c>
      <c r="D438" s="113" t="s">
        <v>78</v>
      </c>
      <c r="E438" s="113" t="s">
        <v>1299</v>
      </c>
    </row>
    <row r="439" spans="1:5" ht="15" customHeight="1" x14ac:dyDescent="0.25">
      <c r="A439" s="113" t="s">
        <v>565</v>
      </c>
      <c r="B439" s="113" t="s">
        <v>276</v>
      </c>
      <c r="C439" s="114" t="s">
        <v>1026</v>
      </c>
      <c r="D439" s="113" t="s">
        <v>1027</v>
      </c>
      <c r="E439" s="113" t="s">
        <v>1300</v>
      </c>
    </row>
    <row r="440" spans="1:5" ht="15" customHeight="1" x14ac:dyDescent="0.25">
      <c r="A440" s="113" t="s">
        <v>550</v>
      </c>
      <c r="B440" s="113" t="s">
        <v>254</v>
      </c>
      <c r="C440" s="113" t="s">
        <v>1017</v>
      </c>
      <c r="D440" s="113" t="s">
        <v>1043</v>
      </c>
      <c r="E440" s="113" t="s">
        <v>1044</v>
      </c>
    </row>
    <row r="441" spans="1:5" ht="15" customHeight="1" x14ac:dyDescent="0.25">
      <c r="A441" s="113" t="s">
        <v>550</v>
      </c>
      <c r="B441" s="113" t="s">
        <v>254</v>
      </c>
      <c r="C441" s="113" t="s">
        <v>1017</v>
      </c>
      <c r="D441" s="113" t="s">
        <v>1018</v>
      </c>
      <c r="E441" s="113" t="s">
        <v>1093</v>
      </c>
    </row>
    <row r="442" spans="1:5" ht="15" customHeight="1" x14ac:dyDescent="0.25">
      <c r="A442" s="113" t="s">
        <v>550</v>
      </c>
      <c r="B442" s="113" t="s">
        <v>254</v>
      </c>
      <c r="C442" s="113" t="s">
        <v>1017</v>
      </c>
      <c r="D442" s="113" t="s">
        <v>78</v>
      </c>
      <c r="E442" s="113" t="s">
        <v>1301</v>
      </c>
    </row>
    <row r="443" spans="1:5" ht="15" customHeight="1" x14ac:dyDescent="0.25">
      <c r="A443" s="113" t="s">
        <v>550</v>
      </c>
      <c r="B443" s="113" t="s">
        <v>254</v>
      </c>
      <c r="C443" s="114" t="s">
        <v>1026</v>
      </c>
      <c r="D443" s="113" t="s">
        <v>1027</v>
      </c>
      <c r="E443" s="113" t="s">
        <v>1302</v>
      </c>
    </row>
    <row r="444" spans="1:5" ht="15" customHeight="1" x14ac:dyDescent="0.25">
      <c r="A444" s="113" t="s">
        <v>547</v>
      </c>
      <c r="B444" s="113" t="s">
        <v>249</v>
      </c>
      <c r="C444" s="113" t="s">
        <v>1017</v>
      </c>
      <c r="D444" s="113" t="s">
        <v>1043</v>
      </c>
      <c r="E444" s="113" t="s">
        <v>1044</v>
      </c>
    </row>
    <row r="445" spans="1:5" ht="15" customHeight="1" x14ac:dyDescent="0.25">
      <c r="A445" s="113" t="s">
        <v>547</v>
      </c>
      <c r="B445" s="113" t="s">
        <v>249</v>
      </c>
      <c r="C445" s="113" t="s">
        <v>1017</v>
      </c>
      <c r="D445" s="113" t="s">
        <v>78</v>
      </c>
      <c r="E445" s="113" t="s">
        <v>1303</v>
      </c>
    </row>
    <row r="446" spans="1:5" ht="15" customHeight="1" x14ac:dyDescent="0.25">
      <c r="A446" s="113" t="s">
        <v>547</v>
      </c>
      <c r="B446" s="113" t="s">
        <v>249</v>
      </c>
      <c r="C446" s="114" t="s">
        <v>1026</v>
      </c>
      <c r="D446" s="113" t="s">
        <v>1027</v>
      </c>
      <c r="E446" s="113" t="s">
        <v>1304</v>
      </c>
    </row>
    <row r="447" spans="1:5" ht="15" customHeight="1" x14ac:dyDescent="0.25">
      <c r="A447" s="113" t="s">
        <v>533</v>
      </c>
      <c r="B447" s="113" t="s">
        <v>229</v>
      </c>
      <c r="C447" s="113" t="s">
        <v>1017</v>
      </c>
      <c r="D447" s="113" t="s">
        <v>1043</v>
      </c>
      <c r="E447" s="113" t="s">
        <v>1044</v>
      </c>
    </row>
    <row r="448" spans="1:5" ht="15" customHeight="1" x14ac:dyDescent="0.25">
      <c r="A448" s="113" t="s">
        <v>533</v>
      </c>
      <c r="B448" s="113" t="s">
        <v>229</v>
      </c>
      <c r="C448" s="113" t="s">
        <v>1017</v>
      </c>
      <c r="D448" s="113" t="s">
        <v>78</v>
      </c>
      <c r="E448" s="113" t="s">
        <v>1305</v>
      </c>
    </row>
    <row r="449" spans="1:5" ht="15" customHeight="1" x14ac:dyDescent="0.25">
      <c r="A449" s="113" t="s">
        <v>533</v>
      </c>
      <c r="B449" s="113" t="s">
        <v>229</v>
      </c>
      <c r="C449" s="114" t="s">
        <v>1026</v>
      </c>
      <c r="D449" s="113" t="s">
        <v>1027</v>
      </c>
      <c r="E449" s="113" t="s">
        <v>1136</v>
      </c>
    </row>
    <row r="450" spans="1:5" ht="15" customHeight="1" x14ac:dyDescent="0.25">
      <c r="A450" s="113" t="s">
        <v>529</v>
      </c>
      <c r="B450" s="113" t="s">
        <v>224</v>
      </c>
      <c r="C450" s="113" t="s">
        <v>1017</v>
      </c>
      <c r="D450" s="113" t="s">
        <v>78</v>
      </c>
      <c r="E450" s="113" t="s">
        <v>1074</v>
      </c>
    </row>
    <row r="451" spans="1:5" ht="15" customHeight="1" x14ac:dyDescent="0.25">
      <c r="A451" s="113" t="s">
        <v>529</v>
      </c>
      <c r="B451" s="113" t="s">
        <v>224</v>
      </c>
      <c r="C451" s="113" t="s">
        <v>1021</v>
      </c>
      <c r="D451" s="113" t="s">
        <v>1021</v>
      </c>
      <c r="E451" s="113" t="s">
        <v>1075</v>
      </c>
    </row>
    <row r="452" spans="1:5" ht="15" customHeight="1" x14ac:dyDescent="0.25">
      <c r="A452" s="113" t="s">
        <v>529</v>
      </c>
      <c r="B452" s="113" t="s">
        <v>224</v>
      </c>
      <c r="C452" s="113" t="s">
        <v>1017</v>
      </c>
      <c r="D452" s="113" t="s">
        <v>1024</v>
      </c>
      <c r="E452" s="113" t="s">
        <v>1025</v>
      </c>
    </row>
    <row r="453" spans="1:5" ht="15" customHeight="1" x14ac:dyDescent="0.25">
      <c r="A453" s="113" t="s">
        <v>529</v>
      </c>
      <c r="B453" s="113" t="s">
        <v>224</v>
      </c>
      <c r="C453" s="114" t="s">
        <v>1026</v>
      </c>
      <c r="D453" s="113" t="s">
        <v>1027</v>
      </c>
      <c r="E453" s="113" t="s">
        <v>1306</v>
      </c>
    </row>
    <row r="454" spans="1:5" ht="25.5" customHeight="1" x14ac:dyDescent="0.25">
      <c r="A454" s="113" t="s">
        <v>529</v>
      </c>
      <c r="B454" s="113" t="s">
        <v>224</v>
      </c>
      <c r="C454" s="113" t="s">
        <v>1017</v>
      </c>
      <c r="D454" s="113" t="s">
        <v>78</v>
      </c>
      <c r="E454" s="113" t="s">
        <v>1307</v>
      </c>
    </row>
    <row r="455" spans="1:5" ht="15" customHeight="1" x14ac:dyDescent="0.25">
      <c r="A455" s="113" t="s">
        <v>633</v>
      </c>
      <c r="B455" s="113" t="s">
        <v>368</v>
      </c>
      <c r="C455" s="113" t="s">
        <v>1017</v>
      </c>
      <c r="D455" s="113" t="s">
        <v>1043</v>
      </c>
      <c r="E455" s="113" t="s">
        <v>1044</v>
      </c>
    </row>
    <row r="456" spans="1:5" ht="25.5" customHeight="1" x14ac:dyDescent="0.25">
      <c r="A456" s="113" t="s">
        <v>633</v>
      </c>
      <c r="B456" s="113" t="s">
        <v>368</v>
      </c>
      <c r="C456" s="113" t="s">
        <v>1017</v>
      </c>
      <c r="D456" s="113" t="s">
        <v>78</v>
      </c>
      <c r="E456" s="113" t="s">
        <v>1308</v>
      </c>
    </row>
    <row r="457" spans="1:5" ht="15" customHeight="1" x14ac:dyDescent="0.25">
      <c r="A457" s="113" t="s">
        <v>633</v>
      </c>
      <c r="B457" s="113" t="s">
        <v>368</v>
      </c>
      <c r="C457" s="114" t="s">
        <v>1026</v>
      </c>
      <c r="D457" s="113" t="s">
        <v>1027</v>
      </c>
      <c r="E457" s="113" t="s">
        <v>1309</v>
      </c>
    </row>
    <row r="458" spans="1:5" ht="25.5" customHeight="1" x14ac:dyDescent="0.25">
      <c r="A458" s="113" t="s">
        <v>502</v>
      </c>
      <c r="B458" s="113" t="s">
        <v>193</v>
      </c>
      <c r="C458" s="113" t="s">
        <v>1017</v>
      </c>
      <c r="D458" s="113" t="s">
        <v>1043</v>
      </c>
      <c r="E458" s="113" t="s">
        <v>1044</v>
      </c>
    </row>
    <row r="459" spans="1:5" ht="25.5" customHeight="1" x14ac:dyDescent="0.25">
      <c r="A459" s="113" t="s">
        <v>502</v>
      </c>
      <c r="B459" s="113" t="s">
        <v>193</v>
      </c>
      <c r="C459" s="113" t="s">
        <v>1017</v>
      </c>
      <c r="D459" s="113" t="s">
        <v>78</v>
      </c>
      <c r="E459" s="113" t="s">
        <v>1310</v>
      </c>
    </row>
    <row r="460" spans="1:5" ht="25.5" customHeight="1" x14ac:dyDescent="0.25">
      <c r="A460" s="113" t="s">
        <v>502</v>
      </c>
      <c r="B460" s="113" t="s">
        <v>193</v>
      </c>
      <c r="C460" s="114" t="s">
        <v>1026</v>
      </c>
      <c r="D460" s="113" t="s">
        <v>1027</v>
      </c>
      <c r="E460" s="113" t="s">
        <v>1311</v>
      </c>
    </row>
    <row r="461" spans="1:5" ht="15" customHeight="1" x14ac:dyDescent="0.25">
      <c r="A461" s="113" t="s">
        <v>564</v>
      </c>
      <c r="B461" s="113" t="s">
        <v>275</v>
      </c>
      <c r="C461" s="113" t="s">
        <v>1017</v>
      </c>
      <c r="D461" s="113" t="s">
        <v>1043</v>
      </c>
      <c r="E461" s="113" t="s">
        <v>1044</v>
      </c>
    </row>
    <row r="462" spans="1:5" ht="15" customHeight="1" x14ac:dyDescent="0.25">
      <c r="A462" s="113" t="s">
        <v>564</v>
      </c>
      <c r="B462" s="113" t="s">
        <v>275</v>
      </c>
      <c r="C462" s="113" t="s">
        <v>1017</v>
      </c>
      <c r="D462" s="113" t="s">
        <v>78</v>
      </c>
      <c r="E462" s="113" t="s">
        <v>1312</v>
      </c>
    </row>
    <row r="463" spans="1:5" ht="15" customHeight="1" x14ac:dyDescent="0.25">
      <c r="A463" s="113" t="s">
        <v>564</v>
      </c>
      <c r="B463" s="113" t="s">
        <v>275</v>
      </c>
      <c r="C463" s="114" t="s">
        <v>1026</v>
      </c>
      <c r="D463" s="113" t="s">
        <v>1027</v>
      </c>
      <c r="E463" s="113" t="s">
        <v>1313</v>
      </c>
    </row>
    <row r="464" spans="1:5" ht="25.5" customHeight="1" x14ac:dyDescent="0.25">
      <c r="A464" s="113" t="s">
        <v>569</v>
      </c>
      <c r="B464" s="113" t="s">
        <v>282</v>
      </c>
      <c r="C464" s="113" t="s">
        <v>1017</v>
      </c>
      <c r="D464" s="113" t="s">
        <v>1043</v>
      </c>
      <c r="E464" s="113" t="s">
        <v>1044</v>
      </c>
    </row>
    <row r="465" spans="1:5" ht="25.5" customHeight="1" x14ac:dyDescent="0.25">
      <c r="A465" s="113" t="s">
        <v>569</v>
      </c>
      <c r="B465" s="113" t="s">
        <v>282</v>
      </c>
      <c r="C465" s="113" t="s">
        <v>1017</v>
      </c>
      <c r="D465" s="113" t="s">
        <v>78</v>
      </c>
      <c r="E465" s="113" t="s">
        <v>1314</v>
      </c>
    </row>
    <row r="466" spans="1:5" ht="25.5" customHeight="1" x14ac:dyDescent="0.25">
      <c r="A466" s="113" t="s">
        <v>569</v>
      </c>
      <c r="B466" s="113" t="s">
        <v>282</v>
      </c>
      <c r="C466" s="114" t="s">
        <v>1026</v>
      </c>
      <c r="D466" s="113" t="s">
        <v>1027</v>
      </c>
      <c r="E466" s="113" t="s">
        <v>1315</v>
      </c>
    </row>
    <row r="467" spans="1:5" ht="25.5" customHeight="1" x14ac:dyDescent="0.25">
      <c r="A467" s="113" t="s">
        <v>560</v>
      </c>
      <c r="B467" s="113" t="s">
        <v>269</v>
      </c>
      <c r="C467" s="113" t="s">
        <v>1017</v>
      </c>
      <c r="D467" s="113" t="s">
        <v>1043</v>
      </c>
      <c r="E467" s="113" t="s">
        <v>1044</v>
      </c>
    </row>
    <row r="468" spans="1:5" ht="25.5" customHeight="1" x14ac:dyDescent="0.25">
      <c r="A468" s="113" t="s">
        <v>560</v>
      </c>
      <c r="B468" s="113" t="s">
        <v>269</v>
      </c>
      <c r="C468" s="113" t="s">
        <v>1017</v>
      </c>
      <c r="D468" s="113" t="s">
        <v>78</v>
      </c>
      <c r="E468" s="113" t="s">
        <v>1316</v>
      </c>
    </row>
    <row r="469" spans="1:5" ht="25.5" customHeight="1" x14ac:dyDescent="0.25">
      <c r="A469" s="113" t="s">
        <v>560</v>
      </c>
      <c r="B469" s="113" t="s">
        <v>269</v>
      </c>
      <c r="C469" s="114" t="s">
        <v>1026</v>
      </c>
      <c r="D469" s="113" t="s">
        <v>1027</v>
      </c>
      <c r="E469" s="113" t="s">
        <v>1317</v>
      </c>
    </row>
    <row r="470" spans="1:5" ht="25.5" customHeight="1" x14ac:dyDescent="0.25">
      <c r="A470" s="113" t="s">
        <v>535</v>
      </c>
      <c r="B470" s="113" t="s">
        <v>231</v>
      </c>
      <c r="C470" s="113" t="s">
        <v>1017</v>
      </c>
      <c r="D470" s="113" t="s">
        <v>1043</v>
      </c>
      <c r="E470" s="113" t="s">
        <v>1044</v>
      </c>
    </row>
    <row r="471" spans="1:5" ht="25.5" customHeight="1" x14ac:dyDescent="0.25">
      <c r="A471" s="113" t="s">
        <v>535</v>
      </c>
      <c r="B471" s="113" t="s">
        <v>231</v>
      </c>
      <c r="C471" s="113" t="s">
        <v>1017</v>
      </c>
      <c r="D471" s="113" t="s">
        <v>78</v>
      </c>
      <c r="E471" s="113" t="s">
        <v>1318</v>
      </c>
    </row>
    <row r="472" spans="1:5" ht="25.5" customHeight="1" x14ac:dyDescent="0.25">
      <c r="A472" s="113" t="s">
        <v>535</v>
      </c>
      <c r="B472" s="113" t="s">
        <v>231</v>
      </c>
      <c r="C472" s="114" t="s">
        <v>1026</v>
      </c>
      <c r="D472" s="113" t="s">
        <v>1027</v>
      </c>
      <c r="E472" s="113" t="s">
        <v>1319</v>
      </c>
    </row>
    <row r="473" spans="1:5" ht="15" customHeight="1" x14ac:dyDescent="0.25">
      <c r="A473" s="113" t="s">
        <v>583</v>
      </c>
      <c r="B473" s="113" t="s">
        <v>304</v>
      </c>
      <c r="C473" s="113" t="s">
        <v>1017</v>
      </c>
      <c r="D473" s="113" t="s">
        <v>1043</v>
      </c>
      <c r="E473" s="113" t="s">
        <v>1044</v>
      </c>
    </row>
    <row r="474" spans="1:5" ht="15" customHeight="1" x14ac:dyDescent="0.25">
      <c r="A474" s="113" t="s">
        <v>583</v>
      </c>
      <c r="B474" s="113" t="s">
        <v>304</v>
      </c>
      <c r="C474" s="113" t="s">
        <v>1017</v>
      </c>
      <c r="D474" s="113" t="s">
        <v>78</v>
      </c>
      <c r="E474" s="113" t="s">
        <v>1320</v>
      </c>
    </row>
    <row r="475" spans="1:5" ht="15" customHeight="1" x14ac:dyDescent="0.25">
      <c r="A475" s="113" t="s">
        <v>583</v>
      </c>
      <c r="B475" s="113" t="s">
        <v>304</v>
      </c>
      <c r="C475" s="114" t="s">
        <v>1026</v>
      </c>
      <c r="D475" s="113" t="s">
        <v>1027</v>
      </c>
      <c r="E475" s="113" t="s">
        <v>1321</v>
      </c>
    </row>
    <row r="476" spans="1:5" ht="15" customHeight="1" x14ac:dyDescent="0.25">
      <c r="A476" s="113" t="s">
        <v>526</v>
      </c>
      <c r="B476" s="113" t="s">
        <v>221</v>
      </c>
      <c r="C476" s="113" t="s">
        <v>1017</v>
      </c>
      <c r="D476" s="113" t="s">
        <v>1043</v>
      </c>
      <c r="E476" s="113" t="s">
        <v>1044</v>
      </c>
    </row>
    <row r="477" spans="1:5" ht="15" customHeight="1" x14ac:dyDescent="0.25">
      <c r="A477" s="113" t="s">
        <v>526</v>
      </c>
      <c r="B477" s="113" t="s">
        <v>221</v>
      </c>
      <c r="C477" s="113" t="s">
        <v>1017</v>
      </c>
      <c r="D477" s="113" t="s">
        <v>78</v>
      </c>
      <c r="E477" s="113" t="s">
        <v>1322</v>
      </c>
    </row>
    <row r="478" spans="1:5" ht="15" customHeight="1" x14ac:dyDescent="0.25">
      <c r="A478" s="113" t="s">
        <v>526</v>
      </c>
      <c r="B478" s="113" t="s">
        <v>221</v>
      </c>
      <c r="C478" s="114" t="s">
        <v>1026</v>
      </c>
      <c r="D478" s="113" t="s">
        <v>1027</v>
      </c>
      <c r="E478" s="113" t="s">
        <v>1323</v>
      </c>
    </row>
    <row r="479" spans="1:5" ht="15" customHeight="1" x14ac:dyDescent="0.25">
      <c r="A479" s="113" t="s">
        <v>580</v>
      </c>
      <c r="B479" s="113" t="s">
        <v>299</v>
      </c>
      <c r="C479" s="113" t="s">
        <v>1017</v>
      </c>
      <c r="D479" s="113" t="s">
        <v>78</v>
      </c>
      <c r="E479" s="113" t="s">
        <v>1324</v>
      </c>
    </row>
    <row r="480" spans="1:5" ht="15" customHeight="1" x14ac:dyDescent="0.25">
      <c r="A480" s="113" t="s">
        <v>580</v>
      </c>
      <c r="B480" s="113" t="s">
        <v>299</v>
      </c>
      <c r="C480" s="113" t="s">
        <v>1021</v>
      </c>
      <c r="D480" s="113" t="s">
        <v>1021</v>
      </c>
      <c r="E480" s="113" t="s">
        <v>1325</v>
      </c>
    </row>
    <row r="481" spans="1:5" ht="15" customHeight="1" x14ac:dyDescent="0.25">
      <c r="A481" s="113" t="s">
        <v>580</v>
      </c>
      <c r="B481" s="113" t="s">
        <v>299</v>
      </c>
      <c r="C481" s="113" t="s">
        <v>1017</v>
      </c>
      <c r="D481" s="113" t="s">
        <v>1024</v>
      </c>
      <c r="E481" s="113" t="s">
        <v>1025</v>
      </c>
    </row>
    <row r="482" spans="1:5" ht="25.5" customHeight="1" x14ac:dyDescent="0.25">
      <c r="A482" s="113" t="s">
        <v>580</v>
      </c>
      <c r="B482" s="113" t="s">
        <v>299</v>
      </c>
      <c r="C482" s="113" t="s">
        <v>1017</v>
      </c>
      <c r="D482" s="113" t="s">
        <v>78</v>
      </c>
      <c r="E482" s="113" t="s">
        <v>1326</v>
      </c>
    </row>
    <row r="483" spans="1:5" ht="15" customHeight="1" x14ac:dyDescent="0.25">
      <c r="A483" s="113" t="s">
        <v>587</v>
      </c>
      <c r="B483" s="113" t="s">
        <v>309</v>
      </c>
      <c r="C483" s="113" t="s">
        <v>1017</v>
      </c>
      <c r="D483" s="113" t="s">
        <v>1043</v>
      </c>
      <c r="E483" s="113" t="s">
        <v>1044</v>
      </c>
    </row>
    <row r="484" spans="1:5" ht="15" customHeight="1" x14ac:dyDescent="0.25">
      <c r="A484" s="113" t="s">
        <v>587</v>
      </c>
      <c r="B484" s="113" t="s">
        <v>309</v>
      </c>
      <c r="C484" s="113" t="s">
        <v>1017</v>
      </c>
      <c r="D484" s="113" t="s">
        <v>78</v>
      </c>
      <c r="E484" s="113" t="s">
        <v>1327</v>
      </c>
    </row>
    <row r="485" spans="1:5" ht="15" customHeight="1" x14ac:dyDescent="0.25">
      <c r="A485" s="113" t="s">
        <v>587</v>
      </c>
      <c r="B485" s="113" t="s">
        <v>309</v>
      </c>
      <c r="C485" s="114" t="s">
        <v>1026</v>
      </c>
      <c r="D485" s="113" t="s">
        <v>1027</v>
      </c>
      <c r="E485" s="113" t="s">
        <v>1328</v>
      </c>
    </row>
    <row r="486" spans="1:5" ht="15" customHeight="1" x14ac:dyDescent="0.25">
      <c r="A486" s="113" t="s">
        <v>592</v>
      </c>
      <c r="B486" s="113" t="s">
        <v>316</v>
      </c>
      <c r="C486" s="113" t="s">
        <v>1017</v>
      </c>
      <c r="D486" s="113" t="s">
        <v>1043</v>
      </c>
      <c r="E486" s="113" t="s">
        <v>1044</v>
      </c>
    </row>
    <row r="487" spans="1:5" ht="15" customHeight="1" x14ac:dyDescent="0.25">
      <c r="A487" s="113" t="s">
        <v>592</v>
      </c>
      <c r="B487" s="113" t="s">
        <v>316</v>
      </c>
      <c r="C487" s="113" t="s">
        <v>1017</v>
      </c>
      <c r="D487" s="113" t="s">
        <v>78</v>
      </c>
      <c r="E487" s="113" t="s">
        <v>1329</v>
      </c>
    </row>
    <row r="488" spans="1:5" ht="15" customHeight="1" x14ac:dyDescent="0.25">
      <c r="A488" s="113" t="s">
        <v>592</v>
      </c>
      <c r="B488" s="113" t="s">
        <v>316</v>
      </c>
      <c r="C488" s="114" t="s">
        <v>1026</v>
      </c>
      <c r="D488" s="113" t="s">
        <v>1027</v>
      </c>
      <c r="E488" s="113" t="s">
        <v>1330</v>
      </c>
    </row>
    <row r="489" spans="1:5" ht="15" customHeight="1" x14ac:dyDescent="0.25">
      <c r="A489" s="113" t="s">
        <v>576</v>
      </c>
      <c r="B489" s="113" t="s">
        <v>291</v>
      </c>
      <c r="C489" s="113" t="s">
        <v>1017</v>
      </c>
      <c r="D489" s="113" t="s">
        <v>1043</v>
      </c>
      <c r="E489" s="113" t="s">
        <v>1044</v>
      </c>
    </row>
    <row r="490" spans="1:5" ht="25.5" customHeight="1" x14ac:dyDescent="0.25">
      <c r="A490" s="113" t="s">
        <v>576</v>
      </c>
      <c r="B490" s="113" t="s">
        <v>291</v>
      </c>
      <c r="C490" s="113" t="s">
        <v>1017</v>
      </c>
      <c r="D490" s="113" t="s">
        <v>78</v>
      </c>
      <c r="E490" s="113" t="s">
        <v>1331</v>
      </c>
    </row>
    <row r="491" spans="1:5" ht="15" customHeight="1" x14ac:dyDescent="0.25">
      <c r="A491" s="113" t="s">
        <v>576</v>
      </c>
      <c r="B491" s="113" t="s">
        <v>291</v>
      </c>
      <c r="C491" s="114" t="s">
        <v>1026</v>
      </c>
      <c r="D491" s="113" t="s">
        <v>1027</v>
      </c>
      <c r="E491" s="113" t="s">
        <v>1332</v>
      </c>
    </row>
    <row r="492" spans="1:5" ht="15" customHeight="1" x14ac:dyDescent="0.25">
      <c r="A492" s="113" t="s">
        <v>470</v>
      </c>
      <c r="B492" s="113" t="s">
        <v>147</v>
      </c>
      <c r="C492" s="113" t="s">
        <v>1017</v>
      </c>
      <c r="D492" s="113" t="s">
        <v>78</v>
      </c>
      <c r="E492" s="113" t="s">
        <v>1333</v>
      </c>
    </row>
    <row r="493" spans="1:5" ht="15" customHeight="1" x14ac:dyDescent="0.25">
      <c r="A493" s="113" t="s">
        <v>470</v>
      </c>
      <c r="B493" s="113" t="s">
        <v>147</v>
      </c>
      <c r="C493" s="114" t="s">
        <v>1026</v>
      </c>
      <c r="D493" s="113" t="s">
        <v>1027</v>
      </c>
      <c r="E493" s="113" t="s">
        <v>1334</v>
      </c>
    </row>
    <row r="494" spans="1:5" ht="15" customHeight="1" x14ac:dyDescent="0.25">
      <c r="A494" s="113" t="s">
        <v>470</v>
      </c>
      <c r="B494" s="113" t="s">
        <v>147</v>
      </c>
      <c r="C494" s="113" t="s">
        <v>1021</v>
      </c>
      <c r="D494" s="113" t="s">
        <v>1021</v>
      </c>
      <c r="E494" s="113" t="s">
        <v>1335</v>
      </c>
    </row>
    <row r="495" spans="1:5" ht="15" customHeight="1" x14ac:dyDescent="0.25">
      <c r="A495" s="113" t="s">
        <v>470</v>
      </c>
      <c r="B495" s="113" t="s">
        <v>147</v>
      </c>
      <c r="C495" s="113" t="s">
        <v>1017</v>
      </c>
      <c r="D495" s="113" t="s">
        <v>1024</v>
      </c>
      <c r="E495" s="113" t="s">
        <v>1025</v>
      </c>
    </row>
    <row r="496" spans="1:5" ht="15" customHeight="1" x14ac:dyDescent="0.25">
      <c r="A496" s="113" t="s">
        <v>470</v>
      </c>
      <c r="B496" s="113" t="s">
        <v>147</v>
      </c>
      <c r="C496" s="114" t="s">
        <v>1026</v>
      </c>
      <c r="D496" s="113" t="s">
        <v>1027</v>
      </c>
      <c r="E496" s="113" t="s">
        <v>1336</v>
      </c>
    </row>
    <row r="497" spans="1:5" ht="25.5" customHeight="1" x14ac:dyDescent="0.25">
      <c r="A497" s="113" t="s">
        <v>470</v>
      </c>
      <c r="B497" s="113" t="s">
        <v>147</v>
      </c>
      <c r="C497" s="113" t="s">
        <v>1017</v>
      </c>
      <c r="D497" s="113" t="s">
        <v>78</v>
      </c>
      <c r="E497" s="113" t="s">
        <v>1337</v>
      </c>
    </row>
    <row r="498" spans="1:5" ht="15" customHeight="1" x14ac:dyDescent="0.25">
      <c r="A498" s="113" t="s">
        <v>582</v>
      </c>
      <c r="B498" s="113" t="s">
        <v>303</v>
      </c>
      <c r="C498" s="113" t="s">
        <v>1017</v>
      </c>
      <c r="D498" s="113" t="s">
        <v>1043</v>
      </c>
      <c r="E498" s="113" t="s">
        <v>1044</v>
      </c>
    </row>
    <row r="499" spans="1:5" ht="15" customHeight="1" x14ac:dyDescent="0.25">
      <c r="A499" s="113" t="s">
        <v>582</v>
      </c>
      <c r="B499" s="113" t="s">
        <v>303</v>
      </c>
      <c r="C499" s="113" t="s">
        <v>1017</v>
      </c>
      <c r="D499" s="113" t="s">
        <v>78</v>
      </c>
      <c r="E499" s="113" t="s">
        <v>1338</v>
      </c>
    </row>
    <row r="500" spans="1:5" ht="15" customHeight="1" x14ac:dyDescent="0.25">
      <c r="A500" s="113" t="s">
        <v>582</v>
      </c>
      <c r="B500" s="113" t="s">
        <v>303</v>
      </c>
      <c r="C500" s="114" t="s">
        <v>1026</v>
      </c>
      <c r="D500" s="113" t="s">
        <v>1027</v>
      </c>
      <c r="E500" s="113" t="s">
        <v>1131</v>
      </c>
    </row>
    <row r="501" spans="1:5" ht="15" customHeight="1" x14ac:dyDescent="0.25">
      <c r="A501" s="113" t="s">
        <v>474</v>
      </c>
      <c r="B501" s="113" t="s">
        <v>154</v>
      </c>
      <c r="C501" s="113" t="s">
        <v>1017</v>
      </c>
      <c r="D501" s="113" t="s">
        <v>1043</v>
      </c>
      <c r="E501" s="113" t="s">
        <v>1044</v>
      </c>
    </row>
    <row r="502" spans="1:5" ht="15" customHeight="1" x14ac:dyDescent="0.25">
      <c r="A502" s="113" t="s">
        <v>474</v>
      </c>
      <c r="B502" s="113" t="s">
        <v>154</v>
      </c>
      <c r="C502" s="113" t="s">
        <v>1017</v>
      </c>
      <c r="D502" s="113" t="s">
        <v>78</v>
      </c>
      <c r="E502" s="113" t="s">
        <v>1339</v>
      </c>
    </row>
    <row r="503" spans="1:5" ht="15" customHeight="1" x14ac:dyDescent="0.25">
      <c r="A503" s="113" t="s">
        <v>474</v>
      </c>
      <c r="B503" s="113" t="s">
        <v>154</v>
      </c>
      <c r="C503" s="114" t="s">
        <v>1026</v>
      </c>
      <c r="D503" s="113" t="s">
        <v>1027</v>
      </c>
      <c r="E503" s="113" t="s">
        <v>1340</v>
      </c>
    </row>
    <row r="504" spans="1:5" ht="15" customHeight="1" x14ac:dyDescent="0.25">
      <c r="A504" s="113" t="s">
        <v>591</v>
      </c>
      <c r="B504" s="113" t="s">
        <v>314</v>
      </c>
      <c r="C504" s="113" t="s">
        <v>1017</v>
      </c>
      <c r="D504" s="113" t="s">
        <v>1043</v>
      </c>
      <c r="E504" s="113" t="s">
        <v>1044</v>
      </c>
    </row>
    <row r="505" spans="1:5" ht="15" customHeight="1" x14ac:dyDescent="0.25">
      <c r="A505" s="113" t="s">
        <v>591</v>
      </c>
      <c r="B505" s="113" t="s">
        <v>314</v>
      </c>
      <c r="C505" s="113" t="s">
        <v>1017</v>
      </c>
      <c r="D505" s="113" t="s">
        <v>78</v>
      </c>
      <c r="E505" s="113" t="s">
        <v>1341</v>
      </c>
    </row>
    <row r="506" spans="1:5" ht="15" customHeight="1" x14ac:dyDescent="0.25">
      <c r="A506" s="113" t="s">
        <v>591</v>
      </c>
      <c r="B506" s="113" t="s">
        <v>314</v>
      </c>
      <c r="C506" s="114" t="s">
        <v>1026</v>
      </c>
      <c r="D506" s="113" t="s">
        <v>1027</v>
      </c>
      <c r="E506" s="113" t="s">
        <v>1342</v>
      </c>
    </row>
    <row r="507" spans="1:5" ht="15" customHeight="1" x14ac:dyDescent="0.25">
      <c r="A507" s="113" t="s">
        <v>571</v>
      </c>
      <c r="B507" s="113" t="s">
        <v>284</v>
      </c>
      <c r="C507" s="113" t="s">
        <v>1017</v>
      </c>
      <c r="D507" s="113" t="s">
        <v>1043</v>
      </c>
      <c r="E507" s="113" t="s">
        <v>1044</v>
      </c>
    </row>
    <row r="508" spans="1:5" ht="15" customHeight="1" x14ac:dyDescent="0.25">
      <c r="A508" s="113" t="s">
        <v>571</v>
      </c>
      <c r="B508" s="113" t="s">
        <v>284</v>
      </c>
      <c r="C508" s="113" t="s">
        <v>1017</v>
      </c>
      <c r="D508" s="113" t="s">
        <v>78</v>
      </c>
      <c r="E508" s="113" t="s">
        <v>1343</v>
      </c>
    </row>
    <row r="509" spans="1:5" ht="15" customHeight="1" x14ac:dyDescent="0.25">
      <c r="A509" s="113" t="s">
        <v>571</v>
      </c>
      <c r="B509" s="113" t="s">
        <v>284</v>
      </c>
      <c r="C509" s="114" t="s">
        <v>1026</v>
      </c>
      <c r="D509" s="113" t="s">
        <v>1027</v>
      </c>
      <c r="E509" s="113" t="s">
        <v>1344</v>
      </c>
    </row>
    <row r="510" spans="1:5" ht="15" customHeight="1" x14ac:dyDescent="0.25">
      <c r="A510" s="113" t="s">
        <v>585</v>
      </c>
      <c r="B510" s="113" t="s">
        <v>307</v>
      </c>
      <c r="C510" s="113" t="s">
        <v>1017</v>
      </c>
      <c r="D510" s="113" t="s">
        <v>78</v>
      </c>
      <c r="E510" s="113" t="s">
        <v>1345</v>
      </c>
    </row>
    <row r="511" spans="1:5" ht="15" customHeight="1" x14ac:dyDescent="0.25">
      <c r="A511" s="113" t="s">
        <v>585</v>
      </c>
      <c r="B511" s="113" t="s">
        <v>307</v>
      </c>
      <c r="C511" s="113" t="s">
        <v>1021</v>
      </c>
      <c r="D511" s="113" t="s">
        <v>1021</v>
      </c>
      <c r="E511" s="113" t="s">
        <v>1054</v>
      </c>
    </row>
    <row r="512" spans="1:5" ht="15" customHeight="1" x14ac:dyDescent="0.25">
      <c r="A512" s="113" t="s">
        <v>585</v>
      </c>
      <c r="B512" s="113" t="s">
        <v>307</v>
      </c>
      <c r="C512" s="113" t="s">
        <v>1017</v>
      </c>
      <c r="D512" s="113" t="s">
        <v>78</v>
      </c>
      <c r="E512" s="113" t="s">
        <v>1346</v>
      </c>
    </row>
    <row r="513" spans="1:5" ht="15" customHeight="1" x14ac:dyDescent="0.25">
      <c r="A513" s="113" t="s">
        <v>585</v>
      </c>
      <c r="B513" s="113" t="s">
        <v>307</v>
      </c>
      <c r="C513" s="113" t="s">
        <v>1017</v>
      </c>
      <c r="D513" s="113" t="s">
        <v>1024</v>
      </c>
      <c r="E513" s="113" t="s">
        <v>1025</v>
      </c>
    </row>
    <row r="514" spans="1:5" ht="15" customHeight="1" x14ac:dyDescent="0.25">
      <c r="A514" s="113" t="s">
        <v>585</v>
      </c>
      <c r="B514" s="113" t="s">
        <v>307</v>
      </c>
      <c r="C514" s="114" t="s">
        <v>1026</v>
      </c>
      <c r="D514" s="113" t="s">
        <v>1027</v>
      </c>
      <c r="E514" s="113" t="s">
        <v>1347</v>
      </c>
    </row>
    <row r="515" spans="1:5" ht="15" customHeight="1" x14ac:dyDescent="0.25">
      <c r="A515" s="113" t="s">
        <v>585</v>
      </c>
      <c r="B515" s="113" t="s">
        <v>307</v>
      </c>
      <c r="C515" s="113" t="s">
        <v>1017</v>
      </c>
      <c r="D515" s="113" t="s">
        <v>78</v>
      </c>
      <c r="E515" s="113" t="s">
        <v>1348</v>
      </c>
    </row>
    <row r="516" spans="1:5" ht="15" customHeight="1" x14ac:dyDescent="0.25">
      <c r="A516" s="113" t="s">
        <v>481</v>
      </c>
      <c r="B516" s="113" t="s">
        <v>162</v>
      </c>
      <c r="C516" s="113" t="s">
        <v>1017</v>
      </c>
      <c r="D516" s="113" t="s">
        <v>78</v>
      </c>
      <c r="E516" s="113" t="s">
        <v>1349</v>
      </c>
    </row>
    <row r="517" spans="1:5" ht="15" customHeight="1" x14ac:dyDescent="0.25">
      <c r="A517" s="113" t="s">
        <v>481</v>
      </c>
      <c r="B517" s="113" t="s">
        <v>162</v>
      </c>
      <c r="C517" s="113" t="s">
        <v>1021</v>
      </c>
      <c r="D517" s="113" t="s">
        <v>1021</v>
      </c>
      <c r="E517" s="113" t="s">
        <v>1335</v>
      </c>
    </row>
    <row r="518" spans="1:5" ht="15" customHeight="1" x14ac:dyDescent="0.25">
      <c r="A518" s="113" t="s">
        <v>481</v>
      </c>
      <c r="B518" s="113" t="s">
        <v>162</v>
      </c>
      <c r="C518" s="113" t="s">
        <v>1017</v>
      </c>
      <c r="D518" s="113" t="s">
        <v>1024</v>
      </c>
      <c r="E518" s="113" t="s">
        <v>1025</v>
      </c>
    </row>
    <row r="519" spans="1:5" ht="15" customHeight="1" x14ac:dyDescent="0.25">
      <c r="A519" s="113" t="s">
        <v>481</v>
      </c>
      <c r="B519" s="113" t="s">
        <v>162</v>
      </c>
      <c r="C519" s="114" t="s">
        <v>1026</v>
      </c>
      <c r="D519" s="113" t="s">
        <v>1027</v>
      </c>
      <c r="E519" s="113" t="s">
        <v>1350</v>
      </c>
    </row>
    <row r="520" spans="1:5" ht="25.5" customHeight="1" x14ac:dyDescent="0.25">
      <c r="A520" s="113" t="s">
        <v>453</v>
      </c>
      <c r="B520" s="113" t="s">
        <v>115</v>
      </c>
      <c r="C520" s="113" t="s">
        <v>1021</v>
      </c>
      <c r="D520" s="113" t="s">
        <v>1021</v>
      </c>
      <c r="E520" s="113" t="s">
        <v>1351</v>
      </c>
    </row>
    <row r="521" spans="1:5" ht="25.5" customHeight="1" x14ac:dyDescent="0.25">
      <c r="A521" s="113" t="s">
        <v>453</v>
      </c>
      <c r="B521" s="113" t="s">
        <v>115</v>
      </c>
      <c r="C521" s="113" t="s">
        <v>1017</v>
      </c>
      <c r="D521" s="113" t="s">
        <v>1024</v>
      </c>
      <c r="E521" s="113" t="s">
        <v>1352</v>
      </c>
    </row>
    <row r="522" spans="1:5" ht="15" customHeight="1" x14ac:dyDescent="0.25">
      <c r="A522" s="113" t="s">
        <v>453</v>
      </c>
      <c r="B522" s="113" t="s">
        <v>115</v>
      </c>
      <c r="C522" s="113" t="s">
        <v>1017</v>
      </c>
      <c r="D522" s="113" t="s">
        <v>78</v>
      </c>
      <c r="E522" s="113" t="s">
        <v>1353</v>
      </c>
    </row>
    <row r="523" spans="1:5" ht="15" customHeight="1" x14ac:dyDescent="0.25">
      <c r="A523" s="113" t="s">
        <v>453</v>
      </c>
      <c r="B523" s="113" t="s">
        <v>115</v>
      </c>
      <c r="C523" s="113" t="s">
        <v>1021</v>
      </c>
      <c r="D523" s="113" t="s">
        <v>1021</v>
      </c>
      <c r="E523" s="113" t="s">
        <v>1354</v>
      </c>
    </row>
    <row r="524" spans="1:5" ht="15" customHeight="1" x14ac:dyDescent="0.25">
      <c r="A524" s="113" t="s">
        <v>453</v>
      </c>
      <c r="B524" s="113" t="s">
        <v>115</v>
      </c>
      <c r="C524" s="113" t="s">
        <v>1021</v>
      </c>
      <c r="D524" s="113" t="s">
        <v>1021</v>
      </c>
      <c r="E524" s="113" t="s">
        <v>1325</v>
      </c>
    </row>
    <row r="525" spans="1:5" ht="15" customHeight="1" x14ac:dyDescent="0.25">
      <c r="A525" s="113" t="s">
        <v>453</v>
      </c>
      <c r="B525" s="113" t="s">
        <v>115</v>
      </c>
      <c r="C525" s="113" t="s">
        <v>1017</v>
      </c>
      <c r="D525" s="113" t="s">
        <v>1024</v>
      </c>
      <c r="E525" s="113" t="s">
        <v>1025</v>
      </c>
    </row>
    <row r="526" spans="1:5" ht="15" customHeight="1" x14ac:dyDescent="0.25">
      <c r="A526" s="113" t="s">
        <v>453</v>
      </c>
      <c r="B526" s="113" t="s">
        <v>115</v>
      </c>
      <c r="C526" s="114" t="s">
        <v>1026</v>
      </c>
      <c r="D526" s="113" t="s">
        <v>1027</v>
      </c>
      <c r="E526" s="113" t="s">
        <v>1355</v>
      </c>
    </row>
    <row r="527" spans="1:5" ht="15" customHeight="1" x14ac:dyDescent="0.25">
      <c r="A527" s="113" t="s">
        <v>453</v>
      </c>
      <c r="B527" s="113" t="s">
        <v>115</v>
      </c>
      <c r="C527" s="113" t="s">
        <v>1017</v>
      </c>
      <c r="D527" s="113" t="s">
        <v>78</v>
      </c>
      <c r="E527" s="113" t="s">
        <v>1356</v>
      </c>
    </row>
    <row r="528" spans="1:5" ht="15" customHeight="1" x14ac:dyDescent="0.25">
      <c r="A528" s="113" t="s">
        <v>559</v>
      </c>
      <c r="B528" s="113" t="s">
        <v>268</v>
      </c>
      <c r="C528" s="113" t="s">
        <v>1017</v>
      </c>
      <c r="D528" s="113" t="s">
        <v>1043</v>
      </c>
      <c r="E528" s="113" t="s">
        <v>1044</v>
      </c>
    </row>
    <row r="529" spans="1:5" ht="15" customHeight="1" x14ac:dyDescent="0.25">
      <c r="A529" s="113" t="s">
        <v>559</v>
      </c>
      <c r="B529" s="113" t="s">
        <v>268</v>
      </c>
      <c r="C529" s="113" t="s">
        <v>1017</v>
      </c>
      <c r="D529" s="113" t="s">
        <v>78</v>
      </c>
      <c r="E529" s="113" t="s">
        <v>1357</v>
      </c>
    </row>
    <row r="530" spans="1:5" ht="15" customHeight="1" x14ac:dyDescent="0.25">
      <c r="A530" s="113" t="s">
        <v>559</v>
      </c>
      <c r="B530" s="113" t="s">
        <v>268</v>
      </c>
      <c r="C530" s="114" t="s">
        <v>1026</v>
      </c>
      <c r="D530" s="113" t="s">
        <v>1027</v>
      </c>
      <c r="E530" s="113" t="s">
        <v>1358</v>
      </c>
    </row>
    <row r="531" spans="1:5" ht="15" customHeight="1" x14ac:dyDescent="0.25">
      <c r="A531" s="113" t="s">
        <v>450</v>
      </c>
      <c r="B531" s="113" t="s">
        <v>111</v>
      </c>
      <c r="C531" s="113" t="s">
        <v>1017</v>
      </c>
      <c r="D531" s="113" t="s">
        <v>1018</v>
      </c>
      <c r="E531" s="113" t="s">
        <v>1019</v>
      </c>
    </row>
    <row r="532" spans="1:5" ht="15" customHeight="1" x14ac:dyDescent="0.25">
      <c r="A532" s="113" t="s">
        <v>450</v>
      </c>
      <c r="B532" s="113" t="s">
        <v>111</v>
      </c>
      <c r="C532" s="113" t="s">
        <v>1017</v>
      </c>
      <c r="D532" s="113" t="s">
        <v>78</v>
      </c>
      <c r="E532" s="113" t="s">
        <v>1359</v>
      </c>
    </row>
    <row r="533" spans="1:5" ht="15" customHeight="1" x14ac:dyDescent="0.25">
      <c r="A533" s="113" t="s">
        <v>450</v>
      </c>
      <c r="B533" s="113" t="s">
        <v>111</v>
      </c>
      <c r="C533" s="113" t="s">
        <v>1021</v>
      </c>
      <c r="D533" s="113" t="s">
        <v>1021</v>
      </c>
      <c r="E533" s="113" t="s">
        <v>1360</v>
      </c>
    </row>
    <row r="534" spans="1:5" ht="15" customHeight="1" x14ac:dyDescent="0.25">
      <c r="A534" s="113" t="s">
        <v>450</v>
      </c>
      <c r="B534" s="113" t="s">
        <v>111</v>
      </c>
      <c r="C534" s="113" t="s">
        <v>1017</v>
      </c>
      <c r="D534" s="113" t="s">
        <v>1024</v>
      </c>
      <c r="E534" s="113" t="s">
        <v>1025</v>
      </c>
    </row>
    <row r="535" spans="1:5" ht="15" customHeight="1" x14ac:dyDescent="0.25">
      <c r="A535" s="113" t="s">
        <v>450</v>
      </c>
      <c r="B535" s="113" t="s">
        <v>111</v>
      </c>
      <c r="C535" s="114" t="s">
        <v>1026</v>
      </c>
      <c r="D535" s="113" t="s">
        <v>1027</v>
      </c>
      <c r="E535" s="113" t="s">
        <v>1361</v>
      </c>
    </row>
    <row r="536" spans="1:5" ht="25.5" customHeight="1" x14ac:dyDescent="0.25">
      <c r="A536" s="113" t="s">
        <v>520</v>
      </c>
      <c r="B536" s="113" t="s">
        <v>214</v>
      </c>
      <c r="C536" s="113" t="s">
        <v>1017</v>
      </c>
      <c r="D536" s="113" t="s">
        <v>1043</v>
      </c>
      <c r="E536" s="113" t="s">
        <v>1044</v>
      </c>
    </row>
    <row r="537" spans="1:5" ht="25.5" customHeight="1" x14ac:dyDescent="0.25">
      <c r="A537" s="113" t="s">
        <v>520</v>
      </c>
      <c r="B537" s="113" t="s">
        <v>214</v>
      </c>
      <c r="C537" s="113" t="s">
        <v>1017</v>
      </c>
      <c r="D537" s="113" t="s">
        <v>78</v>
      </c>
      <c r="E537" s="113" t="s">
        <v>1362</v>
      </c>
    </row>
    <row r="538" spans="1:5" ht="25.5" customHeight="1" x14ac:dyDescent="0.25">
      <c r="A538" s="113" t="s">
        <v>520</v>
      </c>
      <c r="B538" s="113" t="s">
        <v>214</v>
      </c>
      <c r="C538" s="114" t="s">
        <v>1026</v>
      </c>
      <c r="D538" s="113" t="s">
        <v>1027</v>
      </c>
      <c r="E538" s="113" t="s">
        <v>1085</v>
      </c>
    </row>
    <row r="539" spans="1:5" ht="15" customHeight="1" x14ac:dyDescent="0.25">
      <c r="A539" s="113" t="s">
        <v>610</v>
      </c>
      <c r="B539" s="113" t="s">
        <v>339</v>
      </c>
      <c r="C539" s="113" t="s">
        <v>1017</v>
      </c>
      <c r="D539" s="113" t="s">
        <v>1043</v>
      </c>
      <c r="E539" s="113" t="s">
        <v>1044</v>
      </c>
    </row>
    <row r="540" spans="1:5" ht="15" customHeight="1" x14ac:dyDescent="0.25">
      <c r="A540" s="113" t="s">
        <v>610</v>
      </c>
      <c r="B540" s="113" t="s">
        <v>339</v>
      </c>
      <c r="C540" s="113" t="s">
        <v>1017</v>
      </c>
      <c r="D540" s="113" t="s">
        <v>78</v>
      </c>
      <c r="E540" s="113" t="s">
        <v>1363</v>
      </c>
    </row>
    <row r="541" spans="1:5" ht="15" customHeight="1" x14ac:dyDescent="0.25">
      <c r="A541" s="113" t="s">
        <v>610</v>
      </c>
      <c r="B541" s="113" t="s">
        <v>339</v>
      </c>
      <c r="C541" s="114" t="s">
        <v>1026</v>
      </c>
      <c r="D541" s="113" t="s">
        <v>1027</v>
      </c>
      <c r="E541" s="113" t="s">
        <v>1364</v>
      </c>
    </row>
    <row r="542" spans="1:5" ht="15" customHeight="1" x14ac:dyDescent="0.25">
      <c r="A542" s="113" t="s">
        <v>476</v>
      </c>
      <c r="B542" s="113" t="s">
        <v>157</v>
      </c>
      <c r="C542" s="113" t="s">
        <v>1017</v>
      </c>
      <c r="D542" s="113" t="s">
        <v>1043</v>
      </c>
      <c r="E542" s="113" t="s">
        <v>1044</v>
      </c>
    </row>
    <row r="543" spans="1:5" ht="25.5" customHeight="1" x14ac:dyDescent="0.25">
      <c r="A543" s="113" t="s">
        <v>476</v>
      </c>
      <c r="B543" s="113" t="s">
        <v>157</v>
      </c>
      <c r="C543" s="113" t="s">
        <v>1017</v>
      </c>
      <c r="D543" s="113" t="s">
        <v>78</v>
      </c>
      <c r="E543" s="113" t="s">
        <v>1365</v>
      </c>
    </row>
    <row r="544" spans="1:5" ht="15" customHeight="1" x14ac:dyDescent="0.25">
      <c r="A544" s="113" t="s">
        <v>476</v>
      </c>
      <c r="B544" s="113" t="s">
        <v>157</v>
      </c>
      <c r="C544" s="114" t="s">
        <v>1026</v>
      </c>
      <c r="D544" s="113" t="s">
        <v>1027</v>
      </c>
      <c r="E544" s="113" t="s">
        <v>1366</v>
      </c>
    </row>
    <row r="545" spans="1:5" ht="15" customHeight="1" x14ac:dyDescent="0.25">
      <c r="A545" s="113" t="s">
        <v>476</v>
      </c>
      <c r="B545" s="113" t="s">
        <v>157</v>
      </c>
      <c r="C545" s="114" t="s">
        <v>1026</v>
      </c>
      <c r="D545" s="113" t="s">
        <v>1027</v>
      </c>
      <c r="E545" s="113" t="s">
        <v>1367</v>
      </c>
    </row>
    <row r="546" spans="1:5" ht="15" customHeight="1" x14ac:dyDescent="0.25">
      <c r="A546" s="113" t="s">
        <v>584</v>
      </c>
      <c r="B546" s="113" t="s">
        <v>305</v>
      </c>
      <c r="C546" s="113" t="s">
        <v>1017</v>
      </c>
      <c r="D546" s="113" t="s">
        <v>1043</v>
      </c>
      <c r="E546" s="113" t="s">
        <v>1044</v>
      </c>
    </row>
    <row r="547" spans="1:5" ht="25.5" customHeight="1" x14ac:dyDescent="0.25">
      <c r="A547" s="113" t="s">
        <v>584</v>
      </c>
      <c r="B547" s="113" t="s">
        <v>305</v>
      </c>
      <c r="C547" s="113" t="s">
        <v>1017</v>
      </c>
      <c r="D547" s="113" t="s">
        <v>78</v>
      </c>
      <c r="E547" s="113" t="s">
        <v>1368</v>
      </c>
    </row>
    <row r="548" spans="1:5" ht="15" customHeight="1" x14ac:dyDescent="0.25">
      <c r="A548" s="113" t="s">
        <v>584</v>
      </c>
      <c r="B548" s="113" t="s">
        <v>305</v>
      </c>
      <c r="C548" s="114" t="s">
        <v>1026</v>
      </c>
      <c r="D548" s="113" t="s">
        <v>1027</v>
      </c>
      <c r="E548" s="113" t="s">
        <v>1369</v>
      </c>
    </row>
    <row r="549" spans="1:5" ht="15" customHeight="1" x14ac:dyDescent="0.25">
      <c r="A549" s="113" t="s">
        <v>477</v>
      </c>
      <c r="B549" s="113" t="s">
        <v>158</v>
      </c>
      <c r="C549" s="113" t="s">
        <v>1017</v>
      </c>
      <c r="D549" s="113" t="s">
        <v>1018</v>
      </c>
      <c r="E549" s="113" t="s">
        <v>1019</v>
      </c>
    </row>
    <row r="550" spans="1:5" ht="15" customHeight="1" x14ac:dyDescent="0.25">
      <c r="A550" s="113" t="s">
        <v>477</v>
      </c>
      <c r="B550" s="113" t="s">
        <v>158</v>
      </c>
      <c r="C550" s="113" t="s">
        <v>1017</v>
      </c>
      <c r="D550" s="113" t="s">
        <v>78</v>
      </c>
      <c r="E550" s="113" t="s">
        <v>1370</v>
      </c>
    </row>
    <row r="551" spans="1:5" ht="15" customHeight="1" x14ac:dyDescent="0.25">
      <c r="A551" s="113" t="s">
        <v>477</v>
      </c>
      <c r="B551" s="113" t="s">
        <v>158</v>
      </c>
      <c r="C551" s="113" t="s">
        <v>1021</v>
      </c>
      <c r="D551" s="113" t="s">
        <v>1021</v>
      </c>
      <c r="E551" s="113" t="s">
        <v>1371</v>
      </c>
    </row>
    <row r="552" spans="1:5" ht="15" customHeight="1" x14ac:dyDescent="0.25">
      <c r="A552" s="113" t="s">
        <v>477</v>
      </c>
      <c r="B552" s="113" t="s">
        <v>158</v>
      </c>
      <c r="C552" s="113" t="s">
        <v>1017</v>
      </c>
      <c r="D552" s="113" t="s">
        <v>1024</v>
      </c>
      <c r="E552" s="113" t="s">
        <v>1025</v>
      </c>
    </row>
    <row r="553" spans="1:5" ht="15" customHeight="1" x14ac:dyDescent="0.25">
      <c r="A553" s="113" t="s">
        <v>477</v>
      </c>
      <c r="B553" s="113" t="s">
        <v>158</v>
      </c>
      <c r="C553" s="114" t="s">
        <v>1026</v>
      </c>
      <c r="D553" s="113" t="s">
        <v>1027</v>
      </c>
      <c r="E553" s="113" t="s">
        <v>1372</v>
      </c>
    </row>
    <row r="554" spans="1:5" ht="15" customHeight="1" x14ac:dyDescent="0.25">
      <c r="A554" s="113" t="s">
        <v>578</v>
      </c>
      <c r="B554" s="113" t="s">
        <v>295</v>
      </c>
      <c r="C554" s="113" t="s">
        <v>1017</v>
      </c>
      <c r="D554" s="113" t="s">
        <v>1043</v>
      </c>
      <c r="E554" s="113" t="s">
        <v>1044</v>
      </c>
    </row>
    <row r="555" spans="1:5" ht="15" customHeight="1" x14ac:dyDescent="0.25">
      <c r="A555" s="113" t="s">
        <v>578</v>
      </c>
      <c r="B555" s="113" t="s">
        <v>295</v>
      </c>
      <c r="C555" s="113" t="s">
        <v>1017</v>
      </c>
      <c r="D555" s="113" t="s">
        <v>78</v>
      </c>
      <c r="E555" s="113" t="s">
        <v>1373</v>
      </c>
    </row>
    <row r="556" spans="1:5" ht="15" customHeight="1" x14ac:dyDescent="0.25">
      <c r="A556" s="113" t="s">
        <v>578</v>
      </c>
      <c r="B556" s="113" t="s">
        <v>295</v>
      </c>
      <c r="C556" s="114" t="s">
        <v>1026</v>
      </c>
      <c r="D556" s="113" t="s">
        <v>1027</v>
      </c>
      <c r="E556" s="113" t="s">
        <v>1374</v>
      </c>
    </row>
    <row r="557" spans="1:5" ht="25.5" customHeight="1" x14ac:dyDescent="0.25">
      <c r="A557" s="113" t="s">
        <v>449</v>
      </c>
      <c r="B557" s="113" t="s">
        <v>109</v>
      </c>
      <c r="C557" s="113" t="s">
        <v>1017</v>
      </c>
      <c r="D557" s="113" t="s">
        <v>1043</v>
      </c>
      <c r="E557" s="113" t="s">
        <v>1044</v>
      </c>
    </row>
    <row r="558" spans="1:5" ht="25.5" customHeight="1" x14ac:dyDescent="0.25">
      <c r="A558" s="113" t="s">
        <v>449</v>
      </c>
      <c r="B558" s="113" t="s">
        <v>109</v>
      </c>
      <c r="C558" s="113" t="s">
        <v>1017</v>
      </c>
      <c r="D558" s="113" t="s">
        <v>78</v>
      </c>
      <c r="E558" s="113" t="s">
        <v>1375</v>
      </c>
    </row>
    <row r="559" spans="1:5" ht="25.5" customHeight="1" x14ac:dyDescent="0.25">
      <c r="A559" s="113" t="s">
        <v>449</v>
      </c>
      <c r="B559" s="113" t="s">
        <v>109</v>
      </c>
      <c r="C559" s="114" t="s">
        <v>1026</v>
      </c>
      <c r="D559" s="113" t="s">
        <v>1027</v>
      </c>
      <c r="E559" s="113" t="s">
        <v>1376</v>
      </c>
    </row>
    <row r="560" spans="1:5" ht="15" customHeight="1" x14ac:dyDescent="0.25">
      <c r="A560" s="113" t="s">
        <v>458</v>
      </c>
      <c r="B560" s="113" t="s">
        <v>123</v>
      </c>
      <c r="C560" s="113" t="s">
        <v>1017</v>
      </c>
      <c r="D560" s="113" t="s">
        <v>1043</v>
      </c>
      <c r="E560" s="113" t="s">
        <v>1044</v>
      </c>
    </row>
    <row r="561" spans="1:5" ht="15" customHeight="1" x14ac:dyDescent="0.25">
      <c r="A561" s="113" t="s">
        <v>458</v>
      </c>
      <c r="B561" s="113" t="s">
        <v>123</v>
      </c>
      <c r="C561" s="113" t="s">
        <v>1017</v>
      </c>
      <c r="D561" s="113" t="s">
        <v>1018</v>
      </c>
      <c r="E561" s="113" t="s">
        <v>1093</v>
      </c>
    </row>
    <row r="562" spans="1:5" ht="15" customHeight="1" x14ac:dyDescent="0.25">
      <c r="A562" s="113" t="s">
        <v>458</v>
      </c>
      <c r="B562" s="113" t="s">
        <v>123</v>
      </c>
      <c r="C562" s="113" t="s">
        <v>1017</v>
      </c>
      <c r="D562" s="113" t="s">
        <v>78</v>
      </c>
      <c r="E562" s="113" t="s">
        <v>1377</v>
      </c>
    </row>
    <row r="563" spans="1:5" ht="15" customHeight="1" x14ac:dyDescent="0.25">
      <c r="A563" s="113" t="s">
        <v>458</v>
      </c>
      <c r="B563" s="113" t="s">
        <v>123</v>
      </c>
      <c r="C563" s="114" t="s">
        <v>1026</v>
      </c>
      <c r="D563" s="113" t="s">
        <v>1027</v>
      </c>
      <c r="E563" s="113" t="s">
        <v>1378</v>
      </c>
    </row>
    <row r="564" spans="1:5" ht="15" customHeight="1" x14ac:dyDescent="0.25">
      <c r="A564" s="113" t="s">
        <v>455</v>
      </c>
      <c r="B564" s="113" t="s">
        <v>118</v>
      </c>
      <c r="C564" s="113" t="s">
        <v>1017</v>
      </c>
      <c r="D564" s="113" t="s">
        <v>1043</v>
      </c>
      <c r="E564" s="113" t="s">
        <v>1044</v>
      </c>
    </row>
    <row r="565" spans="1:5" ht="15" customHeight="1" x14ac:dyDescent="0.25">
      <c r="A565" s="113" t="s">
        <v>455</v>
      </c>
      <c r="B565" s="113" t="s">
        <v>118</v>
      </c>
      <c r="C565" s="113" t="s">
        <v>1017</v>
      </c>
      <c r="D565" s="113" t="s">
        <v>78</v>
      </c>
      <c r="E565" s="113" t="s">
        <v>1379</v>
      </c>
    </row>
    <row r="566" spans="1:5" ht="15" customHeight="1" x14ac:dyDescent="0.25">
      <c r="A566" s="113" t="s">
        <v>455</v>
      </c>
      <c r="B566" s="113" t="s">
        <v>118</v>
      </c>
      <c r="C566" s="114" t="s">
        <v>1026</v>
      </c>
      <c r="D566" s="113" t="s">
        <v>1027</v>
      </c>
      <c r="E566" s="113" t="s">
        <v>1380</v>
      </c>
    </row>
    <row r="567" spans="1:5" ht="25.5" customHeight="1" x14ac:dyDescent="0.25">
      <c r="A567" s="113" t="s">
        <v>443</v>
      </c>
      <c r="B567" s="113" t="s">
        <v>92</v>
      </c>
      <c r="C567" s="113" t="s">
        <v>1017</v>
      </c>
      <c r="D567" s="113" t="s">
        <v>1043</v>
      </c>
      <c r="E567" s="113" t="s">
        <v>1044</v>
      </c>
    </row>
    <row r="568" spans="1:5" ht="25.5" customHeight="1" x14ac:dyDescent="0.25">
      <c r="A568" s="113" t="s">
        <v>443</v>
      </c>
      <c r="B568" s="113" t="s">
        <v>92</v>
      </c>
      <c r="C568" s="113" t="s">
        <v>1017</v>
      </c>
      <c r="D568" s="113" t="s">
        <v>78</v>
      </c>
      <c r="E568" s="113" t="s">
        <v>1381</v>
      </c>
    </row>
    <row r="569" spans="1:5" ht="25.5" customHeight="1" x14ac:dyDescent="0.25">
      <c r="A569" s="113" t="s">
        <v>443</v>
      </c>
      <c r="B569" s="113" t="s">
        <v>92</v>
      </c>
      <c r="C569" s="114" t="s">
        <v>1026</v>
      </c>
      <c r="D569" s="113" t="s">
        <v>1027</v>
      </c>
      <c r="E569" s="113" t="s">
        <v>1382</v>
      </c>
    </row>
    <row r="570" spans="1:5" ht="15" customHeight="1" x14ac:dyDescent="0.25">
      <c r="A570" s="113" t="s">
        <v>491</v>
      </c>
      <c r="B570" s="113" t="s">
        <v>63</v>
      </c>
      <c r="C570" s="113" t="s">
        <v>1017</v>
      </c>
      <c r="D570" s="113" t="s">
        <v>1043</v>
      </c>
      <c r="E570" s="113" t="s">
        <v>1044</v>
      </c>
    </row>
    <row r="571" spans="1:5" ht="15" customHeight="1" x14ac:dyDescent="0.25">
      <c r="A571" s="113" t="s">
        <v>491</v>
      </c>
      <c r="B571" s="113" t="s">
        <v>63</v>
      </c>
      <c r="C571" s="113" t="s">
        <v>1017</v>
      </c>
      <c r="D571" s="113" t="s">
        <v>1018</v>
      </c>
      <c r="E571" s="113" t="s">
        <v>1190</v>
      </c>
    </row>
    <row r="572" spans="1:5" ht="15" customHeight="1" x14ac:dyDescent="0.25">
      <c r="A572" s="113" t="s">
        <v>491</v>
      </c>
      <c r="B572" s="113" t="s">
        <v>63</v>
      </c>
      <c r="C572" s="113" t="s">
        <v>1017</v>
      </c>
      <c r="D572" s="113" t="s">
        <v>78</v>
      </c>
      <c r="E572" s="113" t="s">
        <v>1383</v>
      </c>
    </row>
    <row r="573" spans="1:5" ht="15" customHeight="1" x14ac:dyDescent="0.25">
      <c r="A573" s="113" t="s">
        <v>491</v>
      </c>
      <c r="B573" s="113" t="s">
        <v>63</v>
      </c>
      <c r="C573" s="114" t="s">
        <v>1026</v>
      </c>
      <c r="D573" s="113" t="s">
        <v>1027</v>
      </c>
      <c r="E573" s="113" t="s">
        <v>1261</v>
      </c>
    </row>
    <row r="574" spans="1:5" ht="25.5" customHeight="1" x14ac:dyDescent="0.25">
      <c r="A574" s="113" t="s">
        <v>631</v>
      </c>
      <c r="B574" s="113" t="s">
        <v>366</v>
      </c>
      <c r="C574" s="113" t="s">
        <v>1017</v>
      </c>
      <c r="D574" s="113" t="s">
        <v>1018</v>
      </c>
      <c r="E574" s="113" t="s">
        <v>1019</v>
      </c>
    </row>
    <row r="575" spans="1:5" ht="25.5" customHeight="1" x14ac:dyDescent="0.25">
      <c r="A575" s="113" t="s">
        <v>631</v>
      </c>
      <c r="B575" s="113" t="s">
        <v>366</v>
      </c>
      <c r="C575" s="113" t="s">
        <v>1017</v>
      </c>
      <c r="D575" s="113" t="s">
        <v>78</v>
      </c>
      <c r="E575" s="113" t="s">
        <v>1384</v>
      </c>
    </row>
    <row r="576" spans="1:5" ht="25.5" customHeight="1" x14ac:dyDescent="0.25">
      <c r="A576" s="113" t="s">
        <v>631</v>
      </c>
      <c r="B576" s="113" t="s">
        <v>366</v>
      </c>
      <c r="C576" s="114" t="s">
        <v>1026</v>
      </c>
      <c r="D576" s="113" t="s">
        <v>1027</v>
      </c>
      <c r="E576" s="113" t="s">
        <v>1385</v>
      </c>
    </row>
    <row r="577" spans="1:5" ht="25.5" customHeight="1" x14ac:dyDescent="0.25">
      <c r="A577" s="113" t="s">
        <v>631</v>
      </c>
      <c r="B577" s="113" t="s">
        <v>366</v>
      </c>
      <c r="C577" s="113" t="s">
        <v>1021</v>
      </c>
      <c r="D577" s="113" t="s">
        <v>1021</v>
      </c>
      <c r="E577" s="113" t="s">
        <v>1054</v>
      </c>
    </row>
    <row r="578" spans="1:5" ht="25.5" customHeight="1" x14ac:dyDescent="0.25">
      <c r="A578" s="113" t="s">
        <v>631</v>
      </c>
      <c r="B578" s="113" t="s">
        <v>366</v>
      </c>
      <c r="C578" s="114" t="s">
        <v>1026</v>
      </c>
      <c r="D578" s="113" t="s">
        <v>1027</v>
      </c>
      <c r="E578" s="113" t="s">
        <v>1386</v>
      </c>
    </row>
    <row r="579" spans="1:5" ht="15" customHeight="1" x14ac:dyDescent="0.25">
      <c r="A579" s="113" t="s">
        <v>607</v>
      </c>
      <c r="B579" s="113" t="s">
        <v>333</v>
      </c>
      <c r="C579" s="113" t="s">
        <v>1017</v>
      </c>
      <c r="D579" s="113" t="s">
        <v>1043</v>
      </c>
      <c r="E579" s="113" t="s">
        <v>1044</v>
      </c>
    </row>
    <row r="580" spans="1:5" ht="15" customHeight="1" x14ac:dyDescent="0.25">
      <c r="A580" s="113" t="s">
        <v>607</v>
      </c>
      <c r="B580" s="113" t="s">
        <v>333</v>
      </c>
      <c r="C580" s="113" t="s">
        <v>1017</v>
      </c>
      <c r="D580" s="113" t="s">
        <v>1018</v>
      </c>
      <c r="E580" s="113" t="s">
        <v>1093</v>
      </c>
    </row>
    <row r="581" spans="1:5" ht="15" customHeight="1" x14ac:dyDescent="0.25">
      <c r="A581" s="113" t="s">
        <v>607</v>
      </c>
      <c r="B581" s="113" t="s">
        <v>333</v>
      </c>
      <c r="C581" s="113" t="s">
        <v>1017</v>
      </c>
      <c r="D581" s="113" t="s">
        <v>78</v>
      </c>
      <c r="E581" s="113" t="s">
        <v>1387</v>
      </c>
    </row>
    <row r="582" spans="1:5" ht="15" customHeight="1" x14ac:dyDescent="0.25">
      <c r="A582" s="113" t="s">
        <v>607</v>
      </c>
      <c r="B582" s="113" t="s">
        <v>333</v>
      </c>
      <c r="C582" s="114" t="s">
        <v>1026</v>
      </c>
      <c r="D582" s="113" t="s">
        <v>1027</v>
      </c>
      <c r="E582" s="113" t="s">
        <v>1388</v>
      </c>
    </row>
    <row r="583" spans="1:5" ht="15" customHeight="1" x14ac:dyDescent="0.25">
      <c r="A583" s="113" t="s">
        <v>504</v>
      </c>
      <c r="B583" s="113" t="s">
        <v>196</v>
      </c>
      <c r="C583" s="113" t="s">
        <v>1017</v>
      </c>
      <c r="D583" s="113" t="s">
        <v>1043</v>
      </c>
      <c r="E583" s="113" t="s">
        <v>1044</v>
      </c>
    </row>
    <row r="584" spans="1:5" ht="15" customHeight="1" x14ac:dyDescent="0.25">
      <c r="A584" s="113" t="s">
        <v>504</v>
      </c>
      <c r="B584" s="113" t="s">
        <v>196</v>
      </c>
      <c r="C584" s="113" t="s">
        <v>1017</v>
      </c>
      <c r="D584" s="113" t="s">
        <v>78</v>
      </c>
      <c r="E584" s="113" t="s">
        <v>1389</v>
      </c>
    </row>
    <row r="585" spans="1:5" ht="15" customHeight="1" x14ac:dyDescent="0.25">
      <c r="A585" s="113" t="s">
        <v>504</v>
      </c>
      <c r="B585" s="113" t="s">
        <v>196</v>
      </c>
      <c r="C585" s="114" t="s">
        <v>1026</v>
      </c>
      <c r="D585" s="113" t="s">
        <v>1027</v>
      </c>
      <c r="E585" s="113" t="s">
        <v>1390</v>
      </c>
    </row>
    <row r="586" spans="1:5" ht="25.5" customHeight="1" x14ac:dyDescent="0.25">
      <c r="A586" s="113" t="s">
        <v>600</v>
      </c>
      <c r="B586" s="113" t="s">
        <v>324</v>
      </c>
      <c r="C586" s="113" t="s">
        <v>1017</v>
      </c>
      <c r="D586" s="113" t="s">
        <v>1043</v>
      </c>
      <c r="E586" s="113" t="s">
        <v>1044</v>
      </c>
    </row>
    <row r="587" spans="1:5" ht="25.5" customHeight="1" x14ac:dyDescent="0.25">
      <c r="A587" s="113" t="s">
        <v>600</v>
      </c>
      <c r="B587" s="113" t="s">
        <v>324</v>
      </c>
      <c r="C587" s="113" t="s">
        <v>1017</v>
      </c>
      <c r="D587" s="113" t="s">
        <v>1018</v>
      </c>
      <c r="E587" s="113" t="s">
        <v>1190</v>
      </c>
    </row>
    <row r="588" spans="1:5" ht="25.5" customHeight="1" x14ac:dyDescent="0.25">
      <c r="A588" s="113" t="s">
        <v>600</v>
      </c>
      <c r="B588" s="113" t="s">
        <v>324</v>
      </c>
      <c r="C588" s="113" t="s">
        <v>1017</v>
      </c>
      <c r="D588" s="113" t="s">
        <v>78</v>
      </c>
      <c r="E588" s="113" t="s">
        <v>1391</v>
      </c>
    </row>
    <row r="589" spans="1:5" ht="25.5" customHeight="1" x14ac:dyDescent="0.25">
      <c r="A589" s="113" t="s">
        <v>600</v>
      </c>
      <c r="B589" s="113" t="s">
        <v>324</v>
      </c>
      <c r="C589" s="114" t="s">
        <v>1026</v>
      </c>
      <c r="D589" s="113" t="s">
        <v>1027</v>
      </c>
      <c r="E589" s="113" t="s">
        <v>1392</v>
      </c>
    </row>
    <row r="590" spans="1:5" ht="15" customHeight="1" x14ac:dyDescent="0.25">
      <c r="A590" s="113" t="s">
        <v>620</v>
      </c>
      <c r="B590" s="113" t="s">
        <v>354</v>
      </c>
      <c r="C590" s="113" t="s">
        <v>1017</v>
      </c>
      <c r="D590" s="113" t="s">
        <v>1043</v>
      </c>
      <c r="E590" s="113" t="s">
        <v>1044</v>
      </c>
    </row>
    <row r="591" spans="1:5" ht="15" customHeight="1" x14ac:dyDescent="0.25">
      <c r="A591" s="113" t="s">
        <v>620</v>
      </c>
      <c r="B591" s="113" t="s">
        <v>354</v>
      </c>
      <c r="C591" s="113" t="s">
        <v>1017</v>
      </c>
      <c r="D591" s="113" t="s">
        <v>1018</v>
      </c>
      <c r="E591" s="113" t="s">
        <v>1093</v>
      </c>
    </row>
    <row r="592" spans="1:5" ht="15" customHeight="1" x14ac:dyDescent="0.25">
      <c r="A592" s="113" t="s">
        <v>620</v>
      </c>
      <c r="B592" s="113" t="s">
        <v>354</v>
      </c>
      <c r="C592" s="113" t="s">
        <v>1017</v>
      </c>
      <c r="D592" s="113" t="s">
        <v>78</v>
      </c>
      <c r="E592" s="113" t="s">
        <v>1393</v>
      </c>
    </row>
    <row r="593" spans="1:5" ht="15" customHeight="1" x14ac:dyDescent="0.25">
      <c r="A593" s="113" t="s">
        <v>620</v>
      </c>
      <c r="B593" s="113" t="s">
        <v>354</v>
      </c>
      <c r="C593" s="114" t="s">
        <v>1026</v>
      </c>
      <c r="D593" s="113" t="s">
        <v>1027</v>
      </c>
      <c r="E593" s="113" t="s">
        <v>1394</v>
      </c>
    </row>
    <row r="594" spans="1:5" ht="15" customHeight="1" x14ac:dyDescent="0.25">
      <c r="A594" s="113" t="s">
        <v>572</v>
      </c>
      <c r="B594" s="113" t="s">
        <v>286</v>
      </c>
      <c r="C594" s="113" t="s">
        <v>1017</v>
      </c>
      <c r="D594" s="113" t="s">
        <v>78</v>
      </c>
      <c r="E594" s="113" t="s">
        <v>1324</v>
      </c>
    </row>
    <row r="595" spans="1:5" ht="15" customHeight="1" x14ac:dyDescent="0.25">
      <c r="A595" s="113" t="s">
        <v>572</v>
      </c>
      <c r="B595" s="113" t="s">
        <v>286</v>
      </c>
      <c r="C595" s="113" t="s">
        <v>1021</v>
      </c>
      <c r="D595" s="113" t="s">
        <v>1021</v>
      </c>
      <c r="E595" s="113" t="s">
        <v>1138</v>
      </c>
    </row>
    <row r="596" spans="1:5" ht="15" customHeight="1" x14ac:dyDescent="0.25">
      <c r="A596" s="113" t="s">
        <v>572</v>
      </c>
      <c r="B596" s="113" t="s">
        <v>286</v>
      </c>
      <c r="C596" s="113" t="s">
        <v>1017</v>
      </c>
      <c r="D596" s="113" t="s">
        <v>1024</v>
      </c>
      <c r="E596" s="113" t="s">
        <v>1025</v>
      </c>
    </row>
    <row r="597" spans="1:5" ht="15" customHeight="1" x14ac:dyDescent="0.25">
      <c r="A597" s="113" t="s">
        <v>572</v>
      </c>
      <c r="B597" s="113" t="s">
        <v>286</v>
      </c>
      <c r="C597" s="114" t="s">
        <v>1026</v>
      </c>
      <c r="D597" s="113" t="s">
        <v>1027</v>
      </c>
      <c r="E597" s="113" t="s">
        <v>1395</v>
      </c>
    </row>
    <row r="598" spans="1:5" ht="15" customHeight="1" x14ac:dyDescent="0.25">
      <c r="A598" s="113" t="s">
        <v>588</v>
      </c>
      <c r="B598" s="113" t="s">
        <v>310</v>
      </c>
      <c r="C598" s="113" t="s">
        <v>1017</v>
      </c>
      <c r="D598" s="113" t="s">
        <v>1043</v>
      </c>
      <c r="E598" s="113" t="s">
        <v>1044</v>
      </c>
    </row>
    <row r="599" spans="1:5" ht="15" customHeight="1" x14ac:dyDescent="0.25">
      <c r="A599" s="113" t="s">
        <v>588</v>
      </c>
      <c r="B599" s="113" t="s">
        <v>310</v>
      </c>
      <c r="C599" s="113" t="s">
        <v>1017</v>
      </c>
      <c r="D599" s="113" t="s">
        <v>78</v>
      </c>
      <c r="E599" s="113" t="s">
        <v>1396</v>
      </c>
    </row>
    <row r="600" spans="1:5" ht="15" customHeight="1" x14ac:dyDescent="0.25">
      <c r="A600" s="113" t="s">
        <v>588</v>
      </c>
      <c r="B600" s="113" t="s">
        <v>310</v>
      </c>
      <c r="C600" s="114" t="s">
        <v>1026</v>
      </c>
      <c r="D600" s="113" t="s">
        <v>1027</v>
      </c>
      <c r="E600" s="113" t="s">
        <v>1397</v>
      </c>
    </row>
    <row r="601" spans="1:5" ht="15" customHeight="1" x14ac:dyDescent="0.25">
      <c r="A601" s="113" t="s">
        <v>589</v>
      </c>
      <c r="B601" s="113" t="s">
        <v>311</v>
      </c>
      <c r="C601" s="113" t="s">
        <v>1017</v>
      </c>
      <c r="D601" s="113" t="s">
        <v>1043</v>
      </c>
      <c r="E601" s="113" t="s">
        <v>1044</v>
      </c>
    </row>
    <row r="602" spans="1:5" ht="15" customHeight="1" x14ac:dyDescent="0.25">
      <c r="A602" s="113" t="s">
        <v>589</v>
      </c>
      <c r="B602" s="113" t="s">
        <v>311</v>
      </c>
      <c r="C602" s="113" t="s">
        <v>1017</v>
      </c>
      <c r="D602" s="113" t="s">
        <v>78</v>
      </c>
      <c r="E602" s="113" t="s">
        <v>1398</v>
      </c>
    </row>
    <row r="603" spans="1:5" ht="15" customHeight="1" x14ac:dyDescent="0.25">
      <c r="A603" s="113" t="s">
        <v>589</v>
      </c>
      <c r="B603" s="113" t="s">
        <v>311</v>
      </c>
      <c r="C603" s="114" t="s">
        <v>1026</v>
      </c>
      <c r="D603" s="113" t="s">
        <v>1027</v>
      </c>
      <c r="E603" s="113" t="s">
        <v>1397</v>
      </c>
    </row>
    <row r="604" spans="1:5" ht="15" customHeight="1" x14ac:dyDescent="0.25">
      <c r="A604" s="113" t="s">
        <v>469</v>
      </c>
      <c r="B604" s="113" t="s">
        <v>146</v>
      </c>
      <c r="C604" s="113" t="s">
        <v>1017</v>
      </c>
      <c r="D604" s="113" t="s">
        <v>1043</v>
      </c>
      <c r="E604" s="113" t="s">
        <v>1044</v>
      </c>
    </row>
    <row r="605" spans="1:5" ht="15" customHeight="1" x14ac:dyDescent="0.25">
      <c r="A605" s="113" t="s">
        <v>469</v>
      </c>
      <c r="B605" s="113" t="s">
        <v>146</v>
      </c>
      <c r="C605" s="113" t="s">
        <v>1017</v>
      </c>
      <c r="D605" s="113" t="s">
        <v>78</v>
      </c>
      <c r="E605" s="113" t="s">
        <v>1399</v>
      </c>
    </row>
    <row r="606" spans="1:5" ht="15" customHeight="1" x14ac:dyDescent="0.25">
      <c r="A606" s="113" t="s">
        <v>469</v>
      </c>
      <c r="B606" s="113" t="s">
        <v>146</v>
      </c>
      <c r="C606" s="114" t="s">
        <v>1026</v>
      </c>
      <c r="D606" s="113" t="s">
        <v>1027</v>
      </c>
      <c r="E606" s="113" t="s">
        <v>1213</v>
      </c>
    </row>
    <row r="607" spans="1:5" ht="15" customHeight="1" x14ac:dyDescent="0.25">
      <c r="A607" s="113" t="s">
        <v>518</v>
      </c>
      <c r="B607" s="113" t="s">
        <v>212</v>
      </c>
      <c r="C607" s="113" t="s">
        <v>1017</v>
      </c>
      <c r="D607" s="113" t="s">
        <v>1043</v>
      </c>
      <c r="E607" s="113" t="s">
        <v>1044</v>
      </c>
    </row>
    <row r="608" spans="1:5" ht="15" customHeight="1" x14ac:dyDescent="0.25">
      <c r="A608" s="113" t="s">
        <v>518</v>
      </c>
      <c r="B608" s="113" t="s">
        <v>212</v>
      </c>
      <c r="C608" s="113" t="s">
        <v>1017</v>
      </c>
      <c r="D608" s="113" t="s">
        <v>78</v>
      </c>
      <c r="E608" s="113" t="s">
        <v>1400</v>
      </c>
    </row>
    <row r="609" spans="1:5" ht="15" customHeight="1" x14ac:dyDescent="0.25">
      <c r="A609" s="113" t="s">
        <v>518</v>
      </c>
      <c r="B609" s="113" t="s">
        <v>212</v>
      </c>
      <c r="C609" s="114" t="s">
        <v>1026</v>
      </c>
      <c r="D609" s="113" t="s">
        <v>1027</v>
      </c>
      <c r="E609" s="113" t="s">
        <v>1401</v>
      </c>
    </row>
    <row r="610" spans="1:5" ht="15" customHeight="1" x14ac:dyDescent="0.25">
      <c r="A610" s="113" t="s">
        <v>611</v>
      </c>
      <c r="B610" s="113" t="s">
        <v>341</v>
      </c>
      <c r="C610" s="113" t="s">
        <v>1017</v>
      </c>
      <c r="D610" s="113" t="s">
        <v>1043</v>
      </c>
      <c r="E610" s="113" t="s">
        <v>1044</v>
      </c>
    </row>
    <row r="611" spans="1:5" ht="15" customHeight="1" x14ac:dyDescent="0.25">
      <c r="A611" s="113" t="s">
        <v>611</v>
      </c>
      <c r="B611" s="113" t="s">
        <v>341</v>
      </c>
      <c r="C611" s="113" t="s">
        <v>1017</v>
      </c>
      <c r="D611" s="113" t="s">
        <v>1018</v>
      </c>
      <c r="E611" s="113" t="s">
        <v>1093</v>
      </c>
    </row>
    <row r="612" spans="1:5" ht="15" customHeight="1" x14ac:dyDescent="0.25">
      <c r="A612" s="113" t="s">
        <v>611</v>
      </c>
      <c r="B612" s="113" t="s">
        <v>341</v>
      </c>
      <c r="C612" s="113" t="s">
        <v>1017</v>
      </c>
      <c r="D612" s="113" t="s">
        <v>78</v>
      </c>
      <c r="E612" s="113" t="s">
        <v>1402</v>
      </c>
    </row>
    <row r="613" spans="1:5" ht="15" customHeight="1" x14ac:dyDescent="0.25">
      <c r="A613" s="113" t="s">
        <v>611</v>
      </c>
      <c r="B613" s="113" t="s">
        <v>341</v>
      </c>
      <c r="C613" s="114" t="s">
        <v>1026</v>
      </c>
      <c r="D613" s="113" t="s">
        <v>1027</v>
      </c>
      <c r="E613" s="113" t="s">
        <v>1403</v>
      </c>
    </row>
    <row r="614" spans="1:5" ht="15" customHeight="1" x14ac:dyDescent="0.25">
      <c r="A614" s="113" t="s">
        <v>496</v>
      </c>
      <c r="B614" s="113" t="s">
        <v>185</v>
      </c>
      <c r="C614" s="113" t="s">
        <v>1017</v>
      </c>
      <c r="D614" s="113" t="s">
        <v>1018</v>
      </c>
      <c r="E614" s="113" t="s">
        <v>1019</v>
      </c>
    </row>
    <row r="615" spans="1:5" ht="15" customHeight="1" x14ac:dyDescent="0.25">
      <c r="A615" s="113" t="s">
        <v>496</v>
      </c>
      <c r="B615" s="113" t="s">
        <v>185</v>
      </c>
      <c r="C615" s="113" t="s">
        <v>1017</v>
      </c>
      <c r="D615" s="113" t="s">
        <v>78</v>
      </c>
      <c r="E615" s="113" t="s">
        <v>1404</v>
      </c>
    </row>
    <row r="616" spans="1:5" ht="15" customHeight="1" x14ac:dyDescent="0.25">
      <c r="A616" s="113" t="s">
        <v>496</v>
      </c>
      <c r="B616" s="113" t="s">
        <v>185</v>
      </c>
      <c r="C616" s="113" t="s">
        <v>1021</v>
      </c>
      <c r="D616" s="113" t="s">
        <v>1021</v>
      </c>
      <c r="E616" s="113" t="s">
        <v>1371</v>
      </c>
    </row>
    <row r="617" spans="1:5" ht="15" customHeight="1" x14ac:dyDescent="0.25">
      <c r="A617" s="113" t="s">
        <v>496</v>
      </c>
      <c r="B617" s="113" t="s">
        <v>185</v>
      </c>
      <c r="C617" s="113" t="s">
        <v>1017</v>
      </c>
      <c r="D617" s="113" t="s">
        <v>1024</v>
      </c>
      <c r="E617" s="113" t="s">
        <v>1025</v>
      </c>
    </row>
    <row r="618" spans="1:5" ht="15" customHeight="1" x14ac:dyDescent="0.25">
      <c r="A618" s="113" t="s">
        <v>496</v>
      </c>
      <c r="B618" s="113" t="s">
        <v>185</v>
      </c>
      <c r="C618" s="114" t="s">
        <v>1026</v>
      </c>
      <c r="D618" s="113" t="s">
        <v>1027</v>
      </c>
      <c r="E618" s="113" t="s">
        <v>1405</v>
      </c>
    </row>
    <row r="619" spans="1:5" ht="25.5" customHeight="1" x14ac:dyDescent="0.25">
      <c r="A619" s="113" t="s">
        <v>445</v>
      </c>
      <c r="B619" s="113" t="s">
        <v>104</v>
      </c>
      <c r="C619" s="113" t="s">
        <v>1021</v>
      </c>
      <c r="D619" s="113" t="s">
        <v>1021</v>
      </c>
      <c r="E619" s="113" t="s">
        <v>1351</v>
      </c>
    </row>
    <row r="620" spans="1:5" ht="25.5" customHeight="1" x14ac:dyDescent="0.25">
      <c r="A620" s="113" t="s">
        <v>445</v>
      </c>
      <c r="B620" s="113" t="s">
        <v>104</v>
      </c>
      <c r="C620" s="113" t="s">
        <v>1017</v>
      </c>
      <c r="D620" s="113" t="s">
        <v>1024</v>
      </c>
      <c r="E620" s="113" t="s">
        <v>1352</v>
      </c>
    </row>
    <row r="621" spans="1:5" ht="15" customHeight="1" x14ac:dyDescent="0.25">
      <c r="A621" s="113" t="s">
        <v>445</v>
      </c>
      <c r="B621" s="113" t="s">
        <v>104</v>
      </c>
      <c r="C621" s="113" t="s">
        <v>1017</v>
      </c>
      <c r="D621" s="113" t="s">
        <v>78</v>
      </c>
      <c r="E621" s="113" t="s">
        <v>1353</v>
      </c>
    </row>
    <row r="622" spans="1:5" ht="15" customHeight="1" x14ac:dyDescent="0.25">
      <c r="A622" s="113" t="s">
        <v>445</v>
      </c>
      <c r="B622" s="113" t="s">
        <v>104</v>
      </c>
      <c r="C622" s="113" t="s">
        <v>1017</v>
      </c>
      <c r="D622" s="113" t="s">
        <v>1018</v>
      </c>
      <c r="E622" s="113" t="s">
        <v>1406</v>
      </c>
    </row>
    <row r="623" spans="1:5" ht="15" customHeight="1" x14ac:dyDescent="0.25">
      <c r="A623" s="113" t="s">
        <v>445</v>
      </c>
      <c r="B623" s="113" t="s">
        <v>104</v>
      </c>
      <c r="C623" s="113" t="s">
        <v>1021</v>
      </c>
      <c r="D623" s="113" t="s">
        <v>1021</v>
      </c>
      <c r="E623" s="113" t="s">
        <v>1325</v>
      </c>
    </row>
    <row r="624" spans="1:5" ht="15" customHeight="1" x14ac:dyDescent="0.25">
      <c r="A624" s="113" t="s">
        <v>445</v>
      </c>
      <c r="B624" s="113" t="s">
        <v>104</v>
      </c>
      <c r="C624" s="113" t="s">
        <v>1017</v>
      </c>
      <c r="D624" s="113" t="s">
        <v>1024</v>
      </c>
      <c r="E624" s="113" t="s">
        <v>1025</v>
      </c>
    </row>
    <row r="625" spans="1:5" ht="15" customHeight="1" x14ac:dyDescent="0.25">
      <c r="A625" s="113" t="s">
        <v>445</v>
      </c>
      <c r="B625" s="113" t="s">
        <v>104</v>
      </c>
      <c r="C625" s="114" t="s">
        <v>1026</v>
      </c>
      <c r="D625" s="113" t="s">
        <v>1027</v>
      </c>
      <c r="E625" s="113" t="s">
        <v>1407</v>
      </c>
    </row>
    <row r="626" spans="1:5" ht="15" customHeight="1" x14ac:dyDescent="0.25">
      <c r="A626" s="113" t="s">
        <v>445</v>
      </c>
      <c r="B626" s="113" t="s">
        <v>104</v>
      </c>
      <c r="C626" s="113" t="s">
        <v>1017</v>
      </c>
      <c r="D626" s="113" t="s">
        <v>78</v>
      </c>
      <c r="E626" s="113" t="s">
        <v>1408</v>
      </c>
    </row>
    <row r="627" spans="1:5" ht="15" customHeight="1" x14ac:dyDescent="0.25">
      <c r="A627" s="113" t="s">
        <v>448</v>
      </c>
      <c r="B627" s="113" t="s">
        <v>108</v>
      </c>
      <c r="C627" s="113" t="s">
        <v>1017</v>
      </c>
      <c r="D627" s="113" t="s">
        <v>1018</v>
      </c>
      <c r="E627" s="113" t="s">
        <v>1019</v>
      </c>
    </row>
    <row r="628" spans="1:5" ht="15" customHeight="1" x14ac:dyDescent="0.25">
      <c r="A628" s="113" t="s">
        <v>448</v>
      </c>
      <c r="B628" s="113" t="s">
        <v>108</v>
      </c>
      <c r="C628" s="113" t="s">
        <v>1017</v>
      </c>
      <c r="D628" s="113" t="s">
        <v>78</v>
      </c>
      <c r="E628" s="113" t="s">
        <v>1359</v>
      </c>
    </row>
    <row r="629" spans="1:5" ht="15" customHeight="1" x14ac:dyDescent="0.25">
      <c r="A629" s="113" t="s">
        <v>448</v>
      </c>
      <c r="B629" s="113" t="s">
        <v>108</v>
      </c>
      <c r="C629" s="113" t="s">
        <v>1021</v>
      </c>
      <c r="D629" s="113" t="s">
        <v>1021</v>
      </c>
      <c r="E629" s="113" t="s">
        <v>1360</v>
      </c>
    </row>
    <row r="630" spans="1:5" ht="15" customHeight="1" x14ac:dyDescent="0.25">
      <c r="A630" s="113" t="s">
        <v>448</v>
      </c>
      <c r="B630" s="113" t="s">
        <v>108</v>
      </c>
      <c r="C630" s="113" t="s">
        <v>1017</v>
      </c>
      <c r="D630" s="113" t="s">
        <v>1024</v>
      </c>
      <c r="E630" s="113" t="s">
        <v>1025</v>
      </c>
    </row>
    <row r="631" spans="1:5" ht="15" customHeight="1" x14ac:dyDescent="0.25">
      <c r="A631" s="113" t="s">
        <v>448</v>
      </c>
      <c r="B631" s="113" t="s">
        <v>108</v>
      </c>
      <c r="C631" s="114" t="s">
        <v>1026</v>
      </c>
      <c r="D631" s="113" t="s">
        <v>1027</v>
      </c>
      <c r="E631" s="113" t="s">
        <v>1409</v>
      </c>
    </row>
    <row r="632" spans="1:5" ht="25.5" customHeight="1" x14ac:dyDescent="0.25">
      <c r="A632" s="113" t="s">
        <v>448</v>
      </c>
      <c r="B632" s="113" t="s">
        <v>108</v>
      </c>
      <c r="C632" s="113" t="s">
        <v>1017</v>
      </c>
      <c r="D632" s="113" t="s">
        <v>78</v>
      </c>
      <c r="E632" s="113" t="s">
        <v>1410</v>
      </c>
    </row>
    <row r="633" spans="1:5" ht="15" customHeight="1" x14ac:dyDescent="0.25">
      <c r="A633" s="113" t="s">
        <v>616</v>
      </c>
      <c r="B633" s="113" t="s">
        <v>349</v>
      </c>
      <c r="C633" s="113" t="s">
        <v>1017</v>
      </c>
      <c r="D633" s="113" t="s">
        <v>1043</v>
      </c>
      <c r="E633" s="113" t="s">
        <v>1044</v>
      </c>
    </row>
    <row r="634" spans="1:5" ht="15" customHeight="1" x14ac:dyDescent="0.25">
      <c r="A634" s="113" t="s">
        <v>616</v>
      </c>
      <c r="B634" s="113" t="s">
        <v>349</v>
      </c>
      <c r="C634" s="113" t="s">
        <v>1017</v>
      </c>
      <c r="D634" s="113" t="s">
        <v>1018</v>
      </c>
      <c r="E634" s="113" t="s">
        <v>1093</v>
      </c>
    </row>
    <row r="635" spans="1:5" ht="15" customHeight="1" x14ac:dyDescent="0.25">
      <c r="A635" s="113" t="s">
        <v>616</v>
      </c>
      <c r="B635" s="113" t="s">
        <v>349</v>
      </c>
      <c r="C635" s="113" t="s">
        <v>1017</v>
      </c>
      <c r="D635" s="113" t="s">
        <v>78</v>
      </c>
      <c r="E635" s="113" t="s">
        <v>1411</v>
      </c>
    </row>
    <row r="636" spans="1:5" ht="15" customHeight="1" x14ac:dyDescent="0.25">
      <c r="A636" s="113" t="s">
        <v>616</v>
      </c>
      <c r="B636" s="113" t="s">
        <v>349</v>
      </c>
      <c r="C636" s="114" t="s">
        <v>1026</v>
      </c>
      <c r="D636" s="113" t="s">
        <v>1027</v>
      </c>
      <c r="E636" s="113" t="s">
        <v>1412</v>
      </c>
    </row>
    <row r="637" spans="1:5" ht="25.5" customHeight="1" x14ac:dyDescent="0.25">
      <c r="A637" s="113" t="s">
        <v>468</v>
      </c>
      <c r="B637" s="113" t="s">
        <v>144</v>
      </c>
      <c r="C637" s="113" t="s">
        <v>1017</v>
      </c>
      <c r="D637" s="113" t="s">
        <v>1043</v>
      </c>
      <c r="E637" s="113" t="s">
        <v>1044</v>
      </c>
    </row>
    <row r="638" spans="1:5" ht="25.5" customHeight="1" x14ac:dyDescent="0.25">
      <c r="A638" s="113" t="s">
        <v>468</v>
      </c>
      <c r="B638" s="113" t="s">
        <v>144</v>
      </c>
      <c r="C638" s="113" t="s">
        <v>1017</v>
      </c>
      <c r="D638" s="113" t="s">
        <v>78</v>
      </c>
      <c r="E638" s="113" t="s">
        <v>1413</v>
      </c>
    </row>
    <row r="639" spans="1:5" ht="25.5" customHeight="1" x14ac:dyDescent="0.25">
      <c r="A639" s="113" t="s">
        <v>468</v>
      </c>
      <c r="B639" s="113" t="s">
        <v>144</v>
      </c>
      <c r="C639" s="114" t="s">
        <v>1026</v>
      </c>
      <c r="D639" s="113" t="s">
        <v>1027</v>
      </c>
      <c r="E639" s="113" t="s">
        <v>1414</v>
      </c>
    </row>
    <row r="640" spans="1:5" ht="25.5" customHeight="1" x14ac:dyDescent="0.25">
      <c r="A640" s="113" t="s">
        <v>468</v>
      </c>
      <c r="B640" s="113" t="s">
        <v>144</v>
      </c>
      <c r="C640" s="114" t="s">
        <v>1026</v>
      </c>
      <c r="D640" s="113" t="s">
        <v>1027</v>
      </c>
      <c r="E640" s="113" t="s">
        <v>1415</v>
      </c>
    </row>
    <row r="641" spans="1:5" ht="25.5" customHeight="1" x14ac:dyDescent="0.25">
      <c r="A641" s="113" t="s">
        <v>493</v>
      </c>
      <c r="B641" s="113" t="s">
        <v>176</v>
      </c>
      <c r="C641" s="113" t="s">
        <v>1017</v>
      </c>
      <c r="D641" s="113" t="s">
        <v>1043</v>
      </c>
      <c r="E641" s="113" t="s">
        <v>1044</v>
      </c>
    </row>
    <row r="642" spans="1:5" ht="25.5" customHeight="1" x14ac:dyDescent="0.25">
      <c r="A642" s="113" t="s">
        <v>493</v>
      </c>
      <c r="B642" s="113" t="s">
        <v>176</v>
      </c>
      <c r="C642" s="113" t="s">
        <v>1017</v>
      </c>
      <c r="D642" s="113" t="s">
        <v>78</v>
      </c>
      <c r="E642" s="113" t="s">
        <v>1416</v>
      </c>
    </row>
    <row r="643" spans="1:5" ht="25.5" customHeight="1" x14ac:dyDescent="0.25">
      <c r="A643" s="113" t="s">
        <v>493</v>
      </c>
      <c r="B643" s="113" t="s">
        <v>176</v>
      </c>
      <c r="C643" s="114" t="s">
        <v>1026</v>
      </c>
      <c r="D643" s="113" t="s">
        <v>1027</v>
      </c>
      <c r="E643" s="113" t="s">
        <v>1417</v>
      </c>
    </row>
    <row r="644" spans="1:5" ht="15" customHeight="1" x14ac:dyDescent="0.25">
      <c r="A644" s="113" t="s">
        <v>508</v>
      </c>
      <c r="B644" s="113" t="s">
        <v>200</v>
      </c>
      <c r="C644" s="113" t="s">
        <v>1017</v>
      </c>
      <c r="D644" s="113" t="s">
        <v>1043</v>
      </c>
      <c r="E644" s="113" t="s">
        <v>1044</v>
      </c>
    </row>
    <row r="645" spans="1:5" ht="15" customHeight="1" x14ac:dyDescent="0.25">
      <c r="A645" s="113" t="s">
        <v>508</v>
      </c>
      <c r="B645" s="113" t="s">
        <v>200</v>
      </c>
      <c r="C645" s="113" t="s">
        <v>1017</v>
      </c>
      <c r="D645" s="113" t="s">
        <v>78</v>
      </c>
      <c r="E645" s="113" t="s">
        <v>1418</v>
      </c>
    </row>
    <row r="646" spans="1:5" ht="15" customHeight="1" x14ac:dyDescent="0.25">
      <c r="A646" s="113" t="s">
        <v>508</v>
      </c>
      <c r="B646" s="113" t="s">
        <v>200</v>
      </c>
      <c r="C646" s="114" t="s">
        <v>1026</v>
      </c>
      <c r="D646" s="113" t="s">
        <v>1027</v>
      </c>
      <c r="E646" s="113" t="s">
        <v>1419</v>
      </c>
    </row>
    <row r="647" spans="1:5" ht="25.5" customHeight="1" x14ac:dyDescent="0.25">
      <c r="A647" s="113" t="s">
        <v>554</v>
      </c>
      <c r="B647" s="113" t="s">
        <v>198</v>
      </c>
      <c r="C647" s="113" t="s">
        <v>1017</v>
      </c>
      <c r="D647" s="113" t="s">
        <v>1043</v>
      </c>
      <c r="E647" s="113" t="s">
        <v>1044</v>
      </c>
    </row>
    <row r="648" spans="1:5" ht="25.5" customHeight="1" x14ac:dyDescent="0.25">
      <c r="A648" s="113" t="s">
        <v>554</v>
      </c>
      <c r="B648" s="113" t="s">
        <v>198</v>
      </c>
      <c r="C648" s="113" t="s">
        <v>1017</v>
      </c>
      <c r="D648" s="113" t="s">
        <v>1018</v>
      </c>
      <c r="E648" s="113" t="s">
        <v>1093</v>
      </c>
    </row>
    <row r="649" spans="1:5" ht="25.5" customHeight="1" x14ac:dyDescent="0.25">
      <c r="A649" s="113" t="s">
        <v>554</v>
      </c>
      <c r="B649" s="113" t="s">
        <v>198</v>
      </c>
      <c r="C649" s="113" t="s">
        <v>1017</v>
      </c>
      <c r="D649" s="113" t="s">
        <v>78</v>
      </c>
      <c r="E649" s="113" t="s">
        <v>1420</v>
      </c>
    </row>
    <row r="650" spans="1:5" ht="25.5" customHeight="1" x14ac:dyDescent="0.25">
      <c r="A650" s="113" t="s">
        <v>554</v>
      </c>
      <c r="B650" s="113" t="s">
        <v>198</v>
      </c>
      <c r="C650" s="114" t="s">
        <v>1026</v>
      </c>
      <c r="D650" s="113" t="s">
        <v>1027</v>
      </c>
      <c r="E650" s="113" t="s">
        <v>1204</v>
      </c>
    </row>
    <row r="651" spans="1:5" ht="25.5" customHeight="1" x14ac:dyDescent="0.25">
      <c r="A651" s="113" t="s">
        <v>462</v>
      </c>
      <c r="B651" s="113" t="s">
        <v>133</v>
      </c>
      <c r="C651" s="113" t="s">
        <v>1017</v>
      </c>
      <c r="D651" s="113" t="s">
        <v>1043</v>
      </c>
      <c r="E651" s="113" t="s">
        <v>1044</v>
      </c>
    </row>
    <row r="652" spans="1:5" ht="25.5" customHeight="1" x14ac:dyDescent="0.25">
      <c r="A652" s="113" t="s">
        <v>462</v>
      </c>
      <c r="B652" s="113" t="s">
        <v>133</v>
      </c>
      <c r="C652" s="113" t="s">
        <v>1017</v>
      </c>
      <c r="D652" s="113" t="s">
        <v>78</v>
      </c>
      <c r="E652" s="113" t="s">
        <v>1421</v>
      </c>
    </row>
    <row r="653" spans="1:5" ht="25.5" customHeight="1" x14ac:dyDescent="0.25">
      <c r="A653" s="113" t="s">
        <v>462</v>
      </c>
      <c r="B653" s="113" t="s">
        <v>133</v>
      </c>
      <c r="C653" s="114" t="s">
        <v>1026</v>
      </c>
      <c r="D653" s="113" t="s">
        <v>1027</v>
      </c>
      <c r="E653" s="113" t="s">
        <v>1422</v>
      </c>
    </row>
    <row r="654" spans="1:5" ht="15" customHeight="1" x14ac:dyDescent="0.25">
      <c r="A654" s="113" t="s">
        <v>594</v>
      </c>
      <c r="B654" s="113" t="s">
        <v>319</v>
      </c>
      <c r="C654" s="113" t="s">
        <v>1017</v>
      </c>
      <c r="D654" s="113" t="s">
        <v>1043</v>
      </c>
      <c r="E654" s="113" t="s">
        <v>1044</v>
      </c>
    </row>
    <row r="655" spans="1:5" ht="15" customHeight="1" x14ac:dyDescent="0.25">
      <c r="A655" s="113" t="s">
        <v>594</v>
      </c>
      <c r="B655" s="113" t="s">
        <v>319</v>
      </c>
      <c r="C655" s="113" t="s">
        <v>1017</v>
      </c>
      <c r="D655" s="113" t="s">
        <v>78</v>
      </c>
      <c r="E655" s="113" t="s">
        <v>1423</v>
      </c>
    </row>
    <row r="656" spans="1:5" ht="15" customHeight="1" x14ac:dyDescent="0.25">
      <c r="A656" s="113" t="s">
        <v>594</v>
      </c>
      <c r="B656" s="113" t="s">
        <v>319</v>
      </c>
      <c r="C656" s="114" t="s">
        <v>1026</v>
      </c>
      <c r="D656" s="113" t="s">
        <v>1027</v>
      </c>
      <c r="E656" s="113" t="s">
        <v>1422</v>
      </c>
    </row>
    <row r="657" spans="1:5" ht="25.5" customHeight="1" x14ac:dyDescent="0.25">
      <c r="A657" s="113" t="s">
        <v>506</v>
      </c>
      <c r="B657" s="113" t="s">
        <v>198</v>
      </c>
      <c r="C657" s="113" t="s">
        <v>1017</v>
      </c>
      <c r="D657" s="113" t="s">
        <v>1043</v>
      </c>
      <c r="E657" s="113" t="s">
        <v>1044</v>
      </c>
    </row>
    <row r="658" spans="1:5" ht="25.5" customHeight="1" x14ac:dyDescent="0.25">
      <c r="A658" s="113" t="s">
        <v>506</v>
      </c>
      <c r="B658" s="113" t="s">
        <v>198</v>
      </c>
      <c r="C658" s="113" t="s">
        <v>1017</v>
      </c>
      <c r="D658" s="113" t="s">
        <v>1018</v>
      </c>
      <c r="E658" s="113" t="s">
        <v>1093</v>
      </c>
    </row>
    <row r="659" spans="1:5" ht="25.5" customHeight="1" x14ac:dyDescent="0.25">
      <c r="A659" s="113" t="s">
        <v>506</v>
      </c>
      <c r="B659" s="113" t="s">
        <v>198</v>
      </c>
      <c r="C659" s="113" t="s">
        <v>1017</v>
      </c>
      <c r="D659" s="113" t="s">
        <v>78</v>
      </c>
      <c r="E659" s="113" t="s">
        <v>1424</v>
      </c>
    </row>
    <row r="660" spans="1:5" ht="25.5" customHeight="1" x14ac:dyDescent="0.25">
      <c r="A660" s="113" t="s">
        <v>506</v>
      </c>
      <c r="B660" s="113" t="s">
        <v>198</v>
      </c>
      <c r="C660" s="114" t="s">
        <v>1026</v>
      </c>
      <c r="D660" s="113" t="s">
        <v>1027</v>
      </c>
      <c r="E660" s="113" t="s">
        <v>1204</v>
      </c>
    </row>
    <row r="661" spans="1:5" ht="25.5" customHeight="1" x14ac:dyDescent="0.25">
      <c r="A661" s="113" t="s">
        <v>626</v>
      </c>
      <c r="B661" s="113" t="s">
        <v>360</v>
      </c>
      <c r="C661" s="113" t="s">
        <v>1017</v>
      </c>
      <c r="D661" s="113" t="s">
        <v>78</v>
      </c>
      <c r="E661" s="113" t="s">
        <v>1425</v>
      </c>
    </row>
    <row r="662" spans="1:5" ht="25.5" customHeight="1" x14ac:dyDescent="0.25">
      <c r="A662" s="113" t="s">
        <v>626</v>
      </c>
      <c r="B662" s="113" t="s">
        <v>360</v>
      </c>
      <c r="C662" s="113" t="s">
        <v>1021</v>
      </c>
      <c r="D662" s="113" t="s">
        <v>1021</v>
      </c>
      <c r="E662" s="113" t="s">
        <v>1426</v>
      </c>
    </row>
    <row r="663" spans="1:5" ht="25.5" customHeight="1" x14ac:dyDescent="0.25">
      <c r="A663" s="113" t="s">
        <v>626</v>
      </c>
      <c r="B663" s="113" t="s">
        <v>360</v>
      </c>
      <c r="C663" s="113" t="s">
        <v>1021</v>
      </c>
      <c r="D663" s="113" t="s">
        <v>1021</v>
      </c>
      <c r="E663" s="113" t="s">
        <v>1072</v>
      </c>
    </row>
    <row r="664" spans="1:5" ht="25.5" customHeight="1" x14ac:dyDescent="0.25">
      <c r="A664" s="113" t="s">
        <v>626</v>
      </c>
      <c r="B664" s="113" t="s">
        <v>360</v>
      </c>
      <c r="C664" s="113" t="s">
        <v>1017</v>
      </c>
      <c r="D664" s="113" t="s">
        <v>78</v>
      </c>
      <c r="E664" s="113" t="s">
        <v>1249</v>
      </c>
    </row>
    <row r="665" spans="1:5" ht="15" customHeight="1" x14ac:dyDescent="0.25">
      <c r="A665" s="113" t="s">
        <v>480</v>
      </c>
      <c r="B665" s="113" t="s">
        <v>160</v>
      </c>
      <c r="C665" s="113" t="s">
        <v>1017</v>
      </c>
      <c r="D665" s="113" t="s">
        <v>1043</v>
      </c>
      <c r="E665" s="113" t="s">
        <v>1044</v>
      </c>
    </row>
    <row r="666" spans="1:5" ht="15" customHeight="1" x14ac:dyDescent="0.25">
      <c r="A666" s="113" t="s">
        <v>480</v>
      </c>
      <c r="B666" s="113" t="s">
        <v>160</v>
      </c>
      <c r="C666" s="113" t="s">
        <v>1017</v>
      </c>
      <c r="D666" s="113" t="s">
        <v>78</v>
      </c>
      <c r="E666" s="113" t="s">
        <v>1427</v>
      </c>
    </row>
    <row r="667" spans="1:5" ht="15" customHeight="1" x14ac:dyDescent="0.25">
      <c r="A667" s="113" t="s">
        <v>505</v>
      </c>
      <c r="B667" s="113" t="s">
        <v>197</v>
      </c>
      <c r="C667" s="113" t="s">
        <v>1017</v>
      </c>
      <c r="D667" s="113" t="s">
        <v>1043</v>
      </c>
      <c r="E667" s="113" t="s">
        <v>1044</v>
      </c>
    </row>
    <row r="668" spans="1:5" ht="15" customHeight="1" x14ac:dyDescent="0.25">
      <c r="A668" s="113" t="s">
        <v>505</v>
      </c>
      <c r="B668" s="113" t="s">
        <v>197</v>
      </c>
      <c r="C668" s="113" t="s">
        <v>1017</v>
      </c>
      <c r="D668" s="113" t="s">
        <v>78</v>
      </c>
      <c r="E668" s="113" t="s">
        <v>1428</v>
      </c>
    </row>
    <row r="669" spans="1:5" ht="15" customHeight="1" x14ac:dyDescent="0.25">
      <c r="A669" s="113" t="s">
        <v>505</v>
      </c>
      <c r="B669" s="113" t="s">
        <v>197</v>
      </c>
      <c r="C669" s="114" t="s">
        <v>1026</v>
      </c>
      <c r="D669" s="113" t="s">
        <v>1027</v>
      </c>
      <c r="E669" s="113" t="s">
        <v>1429</v>
      </c>
    </row>
    <row r="670" spans="1:5" ht="15" customHeight="1" x14ac:dyDescent="0.25">
      <c r="A670" s="113" t="s">
        <v>465</v>
      </c>
      <c r="B670" s="113" t="s">
        <v>138</v>
      </c>
      <c r="C670" s="113" t="s">
        <v>1017</v>
      </c>
      <c r="D670" s="113" t="s">
        <v>1043</v>
      </c>
      <c r="E670" s="113" t="s">
        <v>1044</v>
      </c>
    </row>
    <row r="671" spans="1:5" ht="15" customHeight="1" x14ac:dyDescent="0.25">
      <c r="A671" s="113" t="s">
        <v>465</v>
      </c>
      <c r="B671" s="113" t="s">
        <v>138</v>
      </c>
      <c r="C671" s="113" t="s">
        <v>1017</v>
      </c>
      <c r="D671" s="113" t="s">
        <v>78</v>
      </c>
      <c r="E671" s="113" t="s">
        <v>1430</v>
      </c>
    </row>
    <row r="672" spans="1:5" ht="15" customHeight="1" x14ac:dyDescent="0.25">
      <c r="A672" s="113" t="s">
        <v>465</v>
      </c>
      <c r="B672" s="113" t="s">
        <v>138</v>
      </c>
      <c r="C672" s="114" t="s">
        <v>1026</v>
      </c>
      <c r="D672" s="113" t="s">
        <v>1027</v>
      </c>
      <c r="E672" s="113" t="s">
        <v>1431</v>
      </c>
    </row>
    <row r="673" spans="1:5" ht="15" customHeight="1" x14ac:dyDescent="0.25">
      <c r="A673" s="113" t="s">
        <v>627</v>
      </c>
      <c r="B673" s="113" t="s">
        <v>361</v>
      </c>
      <c r="C673" s="113" t="s">
        <v>1017</v>
      </c>
      <c r="D673" s="113" t="s">
        <v>78</v>
      </c>
      <c r="E673" s="113" t="s">
        <v>1425</v>
      </c>
    </row>
    <row r="674" spans="1:5" ht="15" customHeight="1" x14ac:dyDescent="0.25">
      <c r="A674" s="113" t="s">
        <v>627</v>
      </c>
      <c r="B674" s="113" t="s">
        <v>361</v>
      </c>
      <c r="C674" s="114" t="s">
        <v>1026</v>
      </c>
      <c r="D674" s="113" t="s">
        <v>1027</v>
      </c>
      <c r="E674" s="113" t="s">
        <v>1432</v>
      </c>
    </row>
    <row r="675" spans="1:5" ht="15" customHeight="1" x14ac:dyDescent="0.25">
      <c r="A675" s="113" t="s">
        <v>627</v>
      </c>
      <c r="B675" s="113" t="s">
        <v>361</v>
      </c>
      <c r="C675" s="113" t="s">
        <v>1021</v>
      </c>
      <c r="D675" s="113" t="s">
        <v>1021</v>
      </c>
      <c r="E675" s="113" t="s">
        <v>1426</v>
      </c>
    </row>
    <row r="676" spans="1:5" ht="15" customHeight="1" x14ac:dyDescent="0.25">
      <c r="A676" s="113" t="s">
        <v>627</v>
      </c>
      <c r="B676" s="113" t="s">
        <v>361</v>
      </c>
      <c r="C676" s="113" t="s">
        <v>1021</v>
      </c>
      <c r="D676" s="113" t="s">
        <v>1021</v>
      </c>
      <c r="E676" s="113" t="s">
        <v>1072</v>
      </c>
    </row>
    <row r="677" spans="1:5" ht="15" customHeight="1" x14ac:dyDescent="0.25">
      <c r="A677" s="113" t="s">
        <v>627</v>
      </c>
      <c r="B677" s="113" t="s">
        <v>361</v>
      </c>
      <c r="C677" s="113" t="s">
        <v>1017</v>
      </c>
      <c r="D677" s="113" t="s">
        <v>78</v>
      </c>
      <c r="E677" s="113" t="s">
        <v>1249</v>
      </c>
    </row>
    <row r="678" spans="1:5" ht="15" customHeight="1" x14ac:dyDescent="0.25">
      <c r="A678" s="113" t="s">
        <v>627</v>
      </c>
      <c r="B678" s="113" t="s">
        <v>361</v>
      </c>
      <c r="C678" s="114" t="s">
        <v>1026</v>
      </c>
      <c r="D678" s="113" t="s">
        <v>1027</v>
      </c>
      <c r="E678" s="113" t="s">
        <v>1433</v>
      </c>
    </row>
    <row r="679" spans="1:5" ht="15" customHeight="1" x14ac:dyDescent="0.25">
      <c r="A679" s="113" t="s">
        <v>614</v>
      </c>
      <c r="B679" s="113" t="s">
        <v>346</v>
      </c>
      <c r="C679" s="113" t="s">
        <v>1017</v>
      </c>
      <c r="D679" s="113" t="s">
        <v>1043</v>
      </c>
      <c r="E679" s="113" t="s">
        <v>1044</v>
      </c>
    </row>
    <row r="680" spans="1:5" ht="15" customHeight="1" x14ac:dyDescent="0.25">
      <c r="A680" s="113" t="s">
        <v>614</v>
      </c>
      <c r="B680" s="113" t="s">
        <v>346</v>
      </c>
      <c r="C680" s="113" t="s">
        <v>1017</v>
      </c>
      <c r="D680" s="113" t="s">
        <v>78</v>
      </c>
      <c r="E680" s="113" t="s">
        <v>1434</v>
      </c>
    </row>
    <row r="681" spans="1:5" ht="15" customHeight="1" x14ac:dyDescent="0.25">
      <c r="A681" s="113" t="s">
        <v>614</v>
      </c>
      <c r="B681" s="113" t="s">
        <v>346</v>
      </c>
      <c r="C681" s="114" t="s">
        <v>1026</v>
      </c>
      <c r="D681" s="113" t="s">
        <v>1027</v>
      </c>
      <c r="E681" s="113" t="s">
        <v>1435</v>
      </c>
    </row>
    <row r="682" spans="1:5" ht="15" customHeight="1" x14ac:dyDescent="0.25">
      <c r="A682" s="113" t="s">
        <v>581</v>
      </c>
      <c r="B682" s="113" t="s">
        <v>301</v>
      </c>
      <c r="C682" s="113" t="s">
        <v>1017</v>
      </c>
      <c r="D682" s="113" t="s">
        <v>1043</v>
      </c>
      <c r="E682" s="113" t="s">
        <v>1044</v>
      </c>
    </row>
    <row r="683" spans="1:5" ht="15" customHeight="1" x14ac:dyDescent="0.25">
      <c r="A683" s="113" t="s">
        <v>581</v>
      </c>
      <c r="B683" s="113" t="s">
        <v>301</v>
      </c>
      <c r="C683" s="113" t="s">
        <v>1017</v>
      </c>
      <c r="D683" s="113" t="s">
        <v>78</v>
      </c>
      <c r="E683" s="113" t="s">
        <v>1436</v>
      </c>
    </row>
    <row r="684" spans="1:5" ht="15" customHeight="1" x14ac:dyDescent="0.25">
      <c r="A684" s="113" t="s">
        <v>581</v>
      </c>
      <c r="B684" s="113" t="s">
        <v>301</v>
      </c>
      <c r="C684" s="114" t="s">
        <v>1026</v>
      </c>
      <c r="D684" s="113" t="s">
        <v>1027</v>
      </c>
      <c r="E684" s="113" t="s">
        <v>1437</v>
      </c>
    </row>
    <row r="685" spans="1:5" ht="15" customHeight="1" x14ac:dyDescent="0.25">
      <c r="A685" s="113" t="s">
        <v>625</v>
      </c>
      <c r="B685" s="113" t="s">
        <v>359</v>
      </c>
      <c r="C685" s="113" t="s">
        <v>1017</v>
      </c>
      <c r="D685" s="113" t="s">
        <v>78</v>
      </c>
      <c r="E685" s="113" t="s">
        <v>1425</v>
      </c>
    </row>
    <row r="686" spans="1:5" ht="15" customHeight="1" x14ac:dyDescent="0.25">
      <c r="A686" s="113" t="s">
        <v>625</v>
      </c>
      <c r="B686" s="113" t="s">
        <v>359</v>
      </c>
      <c r="C686" s="113" t="s">
        <v>1021</v>
      </c>
      <c r="D686" s="113" t="s">
        <v>1021</v>
      </c>
      <c r="E686" s="113" t="s">
        <v>1426</v>
      </c>
    </row>
    <row r="687" spans="1:5" ht="15" customHeight="1" x14ac:dyDescent="0.25">
      <c r="A687" s="113" t="s">
        <v>625</v>
      </c>
      <c r="B687" s="113" t="s">
        <v>359</v>
      </c>
      <c r="C687" s="113" t="s">
        <v>1021</v>
      </c>
      <c r="D687" s="113" t="s">
        <v>1021</v>
      </c>
      <c r="E687" s="113" t="s">
        <v>1072</v>
      </c>
    </row>
    <row r="688" spans="1:5" ht="15" customHeight="1" x14ac:dyDescent="0.25">
      <c r="A688" s="113" t="s">
        <v>625</v>
      </c>
      <c r="B688" s="113" t="s">
        <v>359</v>
      </c>
      <c r="C688" s="113" t="s">
        <v>1017</v>
      </c>
      <c r="D688" s="113" t="s">
        <v>78</v>
      </c>
      <c r="E688" s="113" t="s">
        <v>1249</v>
      </c>
    </row>
    <row r="689" spans="1:5" ht="15" customHeight="1" x14ac:dyDescent="0.25">
      <c r="A689" s="113" t="s">
        <v>561</v>
      </c>
      <c r="B689" s="113" t="s">
        <v>270</v>
      </c>
      <c r="C689" s="113" t="s">
        <v>1017</v>
      </c>
      <c r="D689" s="113" t="s">
        <v>1018</v>
      </c>
      <c r="E689" s="113" t="s">
        <v>1438</v>
      </c>
    </row>
    <row r="690" spans="1:5" ht="15" customHeight="1" x14ac:dyDescent="0.25">
      <c r="A690" s="113" t="s">
        <v>561</v>
      </c>
      <c r="B690" s="113" t="s">
        <v>270</v>
      </c>
      <c r="C690" s="113" t="s">
        <v>1021</v>
      </c>
      <c r="D690" s="113" t="s">
        <v>1021</v>
      </c>
      <c r="E690" s="113" t="s">
        <v>1426</v>
      </c>
    </row>
    <row r="691" spans="1:5" ht="15" customHeight="1" x14ac:dyDescent="0.25">
      <c r="A691" s="113" t="s">
        <v>561</v>
      </c>
      <c r="B691" s="113" t="s">
        <v>270</v>
      </c>
      <c r="C691" s="113" t="s">
        <v>1021</v>
      </c>
      <c r="D691" s="113" t="s">
        <v>1021</v>
      </c>
      <c r="E691" s="113" t="s">
        <v>1072</v>
      </c>
    </row>
    <row r="692" spans="1:5" ht="15" customHeight="1" x14ac:dyDescent="0.25">
      <c r="A692" s="113" t="s">
        <v>561</v>
      </c>
      <c r="B692" s="113" t="s">
        <v>270</v>
      </c>
      <c r="C692" s="113" t="s">
        <v>1017</v>
      </c>
      <c r="D692" s="113" t="s">
        <v>1024</v>
      </c>
      <c r="E692" s="113" t="s">
        <v>1025</v>
      </c>
    </row>
    <row r="693" spans="1:5" ht="15" customHeight="1" x14ac:dyDescent="0.25">
      <c r="A693" s="113" t="s">
        <v>561</v>
      </c>
      <c r="B693" s="113" t="s">
        <v>270</v>
      </c>
      <c r="C693" s="113" t="s">
        <v>1017</v>
      </c>
      <c r="D693" s="113" t="s">
        <v>78</v>
      </c>
      <c r="E693" s="113" t="s">
        <v>1249</v>
      </c>
    </row>
    <row r="694" spans="1:5" ht="15" customHeight="1" x14ac:dyDescent="0.25">
      <c r="A694" s="113" t="s">
        <v>561</v>
      </c>
      <c r="B694" s="113" t="s">
        <v>270</v>
      </c>
      <c r="C694" s="114" t="s">
        <v>1026</v>
      </c>
      <c r="D694" s="113" t="s">
        <v>1027</v>
      </c>
      <c r="E694" s="113" t="s">
        <v>1439</v>
      </c>
    </row>
    <row r="695" spans="1:5" ht="15" customHeight="1" x14ac:dyDescent="0.25">
      <c r="A695" s="113" t="s">
        <v>451</v>
      </c>
      <c r="B695" s="113" t="s">
        <v>112</v>
      </c>
      <c r="C695" s="113" t="s">
        <v>1017</v>
      </c>
      <c r="D695" s="113" t="s">
        <v>1018</v>
      </c>
      <c r="E695" s="113" t="s">
        <v>1019</v>
      </c>
    </row>
    <row r="696" spans="1:5" ht="15" customHeight="1" x14ac:dyDescent="0.25">
      <c r="A696" s="113" t="s">
        <v>451</v>
      </c>
      <c r="B696" s="113" t="s">
        <v>112</v>
      </c>
      <c r="C696" s="113" t="s">
        <v>1017</v>
      </c>
      <c r="D696" s="113" t="s">
        <v>78</v>
      </c>
      <c r="E696" s="113" t="s">
        <v>1440</v>
      </c>
    </row>
    <row r="697" spans="1:5" ht="15" customHeight="1" x14ac:dyDescent="0.25">
      <c r="A697" s="113" t="s">
        <v>451</v>
      </c>
      <c r="B697" s="113" t="s">
        <v>112</v>
      </c>
      <c r="C697" s="113" t="s">
        <v>1021</v>
      </c>
      <c r="D697" s="113" t="s">
        <v>1021</v>
      </c>
      <c r="E697" s="113" t="s">
        <v>1022</v>
      </c>
    </row>
    <row r="698" spans="1:5" ht="15" customHeight="1" x14ac:dyDescent="0.25">
      <c r="A698" s="113" t="s">
        <v>451</v>
      </c>
      <c r="B698" s="113" t="s">
        <v>112</v>
      </c>
      <c r="C698" s="113" t="s">
        <v>1017</v>
      </c>
      <c r="D698" s="113" t="s">
        <v>1024</v>
      </c>
      <c r="E698" s="113" t="s">
        <v>1025</v>
      </c>
    </row>
    <row r="699" spans="1:5" ht="15" customHeight="1" x14ac:dyDescent="0.25">
      <c r="A699" s="113" t="s">
        <v>451</v>
      </c>
      <c r="B699" s="113" t="s">
        <v>112</v>
      </c>
      <c r="C699" s="114" t="s">
        <v>1026</v>
      </c>
      <c r="D699" s="113" t="s">
        <v>1027</v>
      </c>
      <c r="E699" s="113" t="s">
        <v>1441</v>
      </c>
    </row>
    <row r="700" spans="1:5" ht="25.5" customHeight="1" x14ac:dyDescent="0.25">
      <c r="A700" s="113" t="s">
        <v>451</v>
      </c>
      <c r="B700" s="113" t="s">
        <v>112</v>
      </c>
      <c r="C700" s="113" t="s">
        <v>1017</v>
      </c>
      <c r="D700" s="113" t="s">
        <v>78</v>
      </c>
      <c r="E700" s="113" t="s">
        <v>1442</v>
      </c>
    </row>
    <row r="701" spans="1:5" ht="15" customHeight="1" x14ac:dyDescent="0.25">
      <c r="A701" s="113" t="s">
        <v>471</v>
      </c>
      <c r="B701" s="113" t="s">
        <v>149</v>
      </c>
      <c r="C701" s="113" t="s">
        <v>1017</v>
      </c>
      <c r="D701" s="113" t="s">
        <v>1043</v>
      </c>
      <c r="E701" s="113" t="s">
        <v>1044</v>
      </c>
    </row>
    <row r="702" spans="1:5" ht="15" customHeight="1" x14ac:dyDescent="0.25">
      <c r="A702" s="113" t="s">
        <v>471</v>
      </c>
      <c r="B702" s="113" t="s">
        <v>149</v>
      </c>
      <c r="C702" s="113" t="s">
        <v>1017</v>
      </c>
      <c r="D702" s="113" t="s">
        <v>78</v>
      </c>
      <c r="E702" s="113" t="s">
        <v>1443</v>
      </c>
    </row>
    <row r="703" spans="1:5" ht="15" customHeight="1" x14ac:dyDescent="0.25">
      <c r="A703" s="113" t="s">
        <v>471</v>
      </c>
      <c r="B703" s="113" t="s">
        <v>149</v>
      </c>
      <c r="C703" s="114" t="s">
        <v>1026</v>
      </c>
      <c r="D703" s="113" t="s">
        <v>1027</v>
      </c>
      <c r="E703" s="113" t="s">
        <v>1444</v>
      </c>
    </row>
    <row r="704" spans="1:5" ht="15" customHeight="1" x14ac:dyDescent="0.25">
      <c r="A704" s="113" t="s">
        <v>452</v>
      </c>
      <c r="B704" s="113" t="s">
        <v>114</v>
      </c>
      <c r="C704" s="113" t="s">
        <v>1017</v>
      </c>
      <c r="D704" s="113" t="s">
        <v>1018</v>
      </c>
      <c r="E704" s="113" t="s">
        <v>1019</v>
      </c>
    </row>
    <row r="705" spans="1:5" ht="15" customHeight="1" x14ac:dyDescent="0.25">
      <c r="A705" s="113" t="s">
        <v>452</v>
      </c>
      <c r="B705" s="113" t="s">
        <v>114</v>
      </c>
      <c r="C705" s="113" t="s">
        <v>1017</v>
      </c>
      <c r="D705" s="113" t="s">
        <v>78</v>
      </c>
      <c r="E705" s="113" t="s">
        <v>1445</v>
      </c>
    </row>
    <row r="706" spans="1:5" ht="15" customHeight="1" x14ac:dyDescent="0.25">
      <c r="A706" s="113" t="s">
        <v>452</v>
      </c>
      <c r="B706" s="113" t="s">
        <v>114</v>
      </c>
      <c r="C706" s="114" t="s">
        <v>1026</v>
      </c>
      <c r="D706" s="113" t="s">
        <v>1089</v>
      </c>
      <c r="E706" s="113" t="s">
        <v>1446</v>
      </c>
    </row>
    <row r="707" spans="1:5" ht="15" customHeight="1" x14ac:dyDescent="0.25">
      <c r="A707" s="113" t="s">
        <v>452</v>
      </c>
      <c r="B707" s="113" t="s">
        <v>114</v>
      </c>
      <c r="C707" s="113" t="s">
        <v>1021</v>
      </c>
      <c r="D707" s="113" t="s">
        <v>1021</v>
      </c>
      <c r="E707" s="113" t="s">
        <v>1022</v>
      </c>
    </row>
    <row r="708" spans="1:5" ht="15" customHeight="1" x14ac:dyDescent="0.25">
      <c r="A708" s="113" t="s">
        <v>452</v>
      </c>
      <c r="B708" s="113" t="s">
        <v>114</v>
      </c>
      <c r="C708" s="113" t="s">
        <v>1017</v>
      </c>
      <c r="D708" s="113" t="s">
        <v>1024</v>
      </c>
      <c r="E708" s="113" t="s">
        <v>1025</v>
      </c>
    </row>
    <row r="709" spans="1:5" ht="15" customHeight="1" x14ac:dyDescent="0.25">
      <c r="A709" s="113" t="s">
        <v>452</v>
      </c>
      <c r="B709" s="113" t="s">
        <v>114</v>
      </c>
      <c r="C709" s="114" t="s">
        <v>1026</v>
      </c>
      <c r="D709" s="113" t="s">
        <v>1027</v>
      </c>
      <c r="E709" s="113" t="s">
        <v>1441</v>
      </c>
    </row>
    <row r="710" spans="1:5" ht="25.5" customHeight="1" x14ac:dyDescent="0.25">
      <c r="A710" s="113" t="s">
        <v>452</v>
      </c>
      <c r="B710" s="113" t="s">
        <v>114</v>
      </c>
      <c r="C710" s="113" t="s">
        <v>1017</v>
      </c>
      <c r="D710" s="113" t="s">
        <v>78</v>
      </c>
      <c r="E710" s="113" t="s">
        <v>1447</v>
      </c>
    </row>
    <row r="711" spans="1:5" ht="25.5" customHeight="1" x14ac:dyDescent="0.25">
      <c r="A711" s="113" t="s">
        <v>519</v>
      </c>
      <c r="B711" s="113" t="s">
        <v>213</v>
      </c>
      <c r="C711" s="113" t="s">
        <v>1017</v>
      </c>
      <c r="D711" s="113" t="s">
        <v>1043</v>
      </c>
      <c r="E711" s="113" t="s">
        <v>1044</v>
      </c>
    </row>
    <row r="712" spans="1:5" ht="25.5" customHeight="1" x14ac:dyDescent="0.25">
      <c r="A712" s="113" t="s">
        <v>519</v>
      </c>
      <c r="B712" s="113" t="s">
        <v>213</v>
      </c>
      <c r="C712" s="113" t="s">
        <v>1017</v>
      </c>
      <c r="D712" s="113" t="s">
        <v>78</v>
      </c>
      <c r="E712" s="113" t="s">
        <v>1448</v>
      </c>
    </row>
    <row r="713" spans="1:5" ht="25.5" customHeight="1" x14ac:dyDescent="0.25">
      <c r="A713" s="113" t="s">
        <v>519</v>
      </c>
      <c r="B713" s="113" t="s">
        <v>213</v>
      </c>
      <c r="C713" s="114" t="s">
        <v>1026</v>
      </c>
      <c r="D713" s="113" t="s">
        <v>1027</v>
      </c>
      <c r="E713" s="113" t="s">
        <v>1449</v>
      </c>
    </row>
    <row r="714" spans="1:5" ht="25.5" customHeight="1" x14ac:dyDescent="0.25">
      <c r="A714" s="113" t="s">
        <v>519</v>
      </c>
      <c r="B714" s="113" t="s">
        <v>213</v>
      </c>
      <c r="C714" s="114" t="s">
        <v>1026</v>
      </c>
      <c r="D714" s="113" t="s">
        <v>1027</v>
      </c>
      <c r="E714" s="113" t="s">
        <v>1450</v>
      </c>
    </row>
    <row r="715" spans="1:5" ht="15" customHeight="1" x14ac:dyDescent="0.25">
      <c r="A715" s="113" t="s">
        <v>466</v>
      </c>
      <c r="B715" s="113" t="s">
        <v>140</v>
      </c>
      <c r="C715" s="113" t="s">
        <v>1017</v>
      </c>
      <c r="D715" s="113" t="s">
        <v>1043</v>
      </c>
      <c r="E715" s="113" t="s">
        <v>1044</v>
      </c>
    </row>
    <row r="716" spans="1:5" ht="15" customHeight="1" x14ac:dyDescent="0.25">
      <c r="A716" s="113" t="s">
        <v>466</v>
      </c>
      <c r="B716" s="113" t="s">
        <v>140</v>
      </c>
      <c r="C716" s="113" t="s">
        <v>1017</v>
      </c>
      <c r="D716" s="113" t="s">
        <v>1018</v>
      </c>
      <c r="E716" s="113" t="s">
        <v>1093</v>
      </c>
    </row>
    <row r="717" spans="1:5" ht="15" customHeight="1" x14ac:dyDescent="0.25">
      <c r="A717" s="113" t="s">
        <v>466</v>
      </c>
      <c r="B717" s="113" t="s">
        <v>140</v>
      </c>
      <c r="C717" s="113" t="s">
        <v>1017</v>
      </c>
      <c r="D717" s="113" t="s">
        <v>78</v>
      </c>
      <c r="E717" s="113" t="s">
        <v>1451</v>
      </c>
    </row>
    <row r="718" spans="1:5" ht="15" customHeight="1" x14ac:dyDescent="0.25">
      <c r="A718" s="113" t="s">
        <v>466</v>
      </c>
      <c r="B718" s="113" t="s">
        <v>140</v>
      </c>
      <c r="C718" s="114" t="s">
        <v>1026</v>
      </c>
      <c r="D718" s="113" t="s">
        <v>1027</v>
      </c>
      <c r="E718" s="113" t="s">
        <v>1452</v>
      </c>
    </row>
    <row r="719" spans="1:5" ht="15" customHeight="1" x14ac:dyDescent="0.25">
      <c r="A719" s="113" t="s">
        <v>466</v>
      </c>
      <c r="B719" s="113" t="s">
        <v>140</v>
      </c>
      <c r="C719" s="114" t="s">
        <v>1026</v>
      </c>
      <c r="D719" s="113" t="s">
        <v>1027</v>
      </c>
      <c r="E719" s="113" t="s">
        <v>1453</v>
      </c>
    </row>
    <row r="720" spans="1:5" ht="15" customHeight="1" x14ac:dyDescent="0.25">
      <c r="A720" s="113" t="s">
        <v>552</v>
      </c>
      <c r="B720" s="113" t="s">
        <v>258</v>
      </c>
      <c r="C720" s="113" t="s">
        <v>1017</v>
      </c>
      <c r="D720" s="113" t="s">
        <v>1043</v>
      </c>
      <c r="E720" s="113" t="s">
        <v>1044</v>
      </c>
    </row>
    <row r="721" spans="1:5" ht="15" customHeight="1" x14ac:dyDescent="0.25">
      <c r="A721" s="113" t="s">
        <v>552</v>
      </c>
      <c r="B721" s="113" t="s">
        <v>258</v>
      </c>
      <c r="C721" s="113" t="s">
        <v>1017</v>
      </c>
      <c r="D721" s="113" t="s">
        <v>78</v>
      </c>
      <c r="E721" s="113" t="s">
        <v>1454</v>
      </c>
    </row>
    <row r="722" spans="1:5" ht="15" customHeight="1" x14ac:dyDescent="0.25">
      <c r="A722" s="113" t="s">
        <v>552</v>
      </c>
      <c r="B722" s="113" t="s">
        <v>258</v>
      </c>
      <c r="C722" s="114" t="s">
        <v>1026</v>
      </c>
      <c r="D722" s="113" t="s">
        <v>1027</v>
      </c>
      <c r="E722" s="113" t="s">
        <v>1455</v>
      </c>
    </row>
    <row r="723" spans="1:5" ht="15" customHeight="1" x14ac:dyDescent="0.25">
      <c r="A723" s="113" t="s">
        <v>553</v>
      </c>
      <c r="B723" s="113" t="s">
        <v>259</v>
      </c>
      <c r="C723" s="113" t="s">
        <v>1017</v>
      </c>
      <c r="D723" s="113" t="s">
        <v>1043</v>
      </c>
      <c r="E723" s="113" t="s">
        <v>1044</v>
      </c>
    </row>
    <row r="724" spans="1:5" ht="15" customHeight="1" x14ac:dyDescent="0.25">
      <c r="A724" s="113" t="s">
        <v>553</v>
      </c>
      <c r="B724" s="113" t="s">
        <v>259</v>
      </c>
      <c r="C724" s="113" t="s">
        <v>1017</v>
      </c>
      <c r="D724" s="113" t="s">
        <v>78</v>
      </c>
      <c r="E724" s="113" t="s">
        <v>1456</v>
      </c>
    </row>
    <row r="725" spans="1:5" ht="15" customHeight="1" x14ac:dyDescent="0.25">
      <c r="A725" s="113" t="s">
        <v>553</v>
      </c>
      <c r="B725" s="113" t="s">
        <v>259</v>
      </c>
      <c r="C725" s="114" t="s">
        <v>1026</v>
      </c>
      <c r="D725" s="113" t="s">
        <v>1027</v>
      </c>
      <c r="E725" s="113" t="s">
        <v>1455</v>
      </c>
    </row>
    <row r="726" spans="1:5" ht="15" customHeight="1" x14ac:dyDescent="0.25">
      <c r="A726" s="113" t="s">
        <v>586</v>
      </c>
      <c r="B726" s="113" t="s">
        <v>308</v>
      </c>
      <c r="C726" s="113" t="s">
        <v>1017</v>
      </c>
      <c r="D726" s="113" t="s">
        <v>1043</v>
      </c>
      <c r="E726" s="113" t="s">
        <v>1044</v>
      </c>
    </row>
    <row r="727" spans="1:5" ht="15" customHeight="1" x14ac:dyDescent="0.25">
      <c r="A727" s="113" t="s">
        <v>586</v>
      </c>
      <c r="B727" s="113" t="s">
        <v>308</v>
      </c>
      <c r="C727" s="113" t="s">
        <v>1017</v>
      </c>
      <c r="D727" s="113" t="s">
        <v>78</v>
      </c>
      <c r="E727" s="113" t="s">
        <v>1457</v>
      </c>
    </row>
    <row r="728" spans="1:5" ht="15" customHeight="1" x14ac:dyDescent="0.25">
      <c r="A728" s="113" t="s">
        <v>586</v>
      </c>
      <c r="B728" s="113" t="s">
        <v>308</v>
      </c>
      <c r="C728" s="114" t="s">
        <v>1026</v>
      </c>
      <c r="D728" s="113" t="s">
        <v>1027</v>
      </c>
      <c r="E728" s="113" t="s">
        <v>1458</v>
      </c>
    </row>
    <row r="729" spans="1:5" ht="25.5" customHeight="1" x14ac:dyDescent="0.25">
      <c r="A729" s="113" t="s">
        <v>608</v>
      </c>
      <c r="B729" s="113" t="s">
        <v>335</v>
      </c>
      <c r="C729" s="113" t="s">
        <v>1017</v>
      </c>
      <c r="D729" s="113" t="s">
        <v>1018</v>
      </c>
      <c r="E729" s="113" t="s">
        <v>1019</v>
      </c>
    </row>
    <row r="730" spans="1:5" ht="25.5" customHeight="1" x14ac:dyDescent="0.25">
      <c r="A730" s="113" t="s">
        <v>608</v>
      </c>
      <c r="B730" s="113" t="s">
        <v>335</v>
      </c>
      <c r="C730" s="114" t="s">
        <v>1026</v>
      </c>
      <c r="D730" s="113" t="s">
        <v>1089</v>
      </c>
      <c r="E730" s="113" t="s">
        <v>1459</v>
      </c>
    </row>
    <row r="731" spans="1:5" ht="25.5" customHeight="1" x14ac:dyDescent="0.25">
      <c r="A731" s="113" t="s">
        <v>608</v>
      </c>
      <c r="B731" s="113" t="s">
        <v>335</v>
      </c>
      <c r="C731" s="113" t="s">
        <v>1017</v>
      </c>
      <c r="D731" s="113" t="s">
        <v>78</v>
      </c>
      <c r="E731" s="113" t="s">
        <v>1460</v>
      </c>
    </row>
    <row r="732" spans="1:5" ht="25.5" customHeight="1" x14ac:dyDescent="0.25">
      <c r="A732" s="113" t="s">
        <v>608</v>
      </c>
      <c r="B732" s="113" t="s">
        <v>335</v>
      </c>
      <c r="C732" s="113" t="s">
        <v>1021</v>
      </c>
      <c r="D732" s="113" t="s">
        <v>1021</v>
      </c>
      <c r="E732" s="113" t="s">
        <v>1054</v>
      </c>
    </row>
    <row r="733" spans="1:5" ht="25.5" customHeight="1" x14ac:dyDescent="0.25">
      <c r="A733" s="113" t="s">
        <v>608</v>
      </c>
      <c r="B733" s="113" t="s">
        <v>335</v>
      </c>
      <c r="C733" s="114" t="s">
        <v>1026</v>
      </c>
      <c r="D733" s="113" t="s">
        <v>1027</v>
      </c>
      <c r="E733" s="113" t="s">
        <v>1461</v>
      </c>
    </row>
    <row r="734" spans="1:5" ht="15" customHeight="1" x14ac:dyDescent="0.25">
      <c r="A734" s="113" t="s">
        <v>454</v>
      </c>
      <c r="B734" s="113" t="s">
        <v>116</v>
      </c>
      <c r="C734" s="113" t="s">
        <v>1017</v>
      </c>
      <c r="D734" s="113" t="s">
        <v>78</v>
      </c>
      <c r="E734" s="113" t="s">
        <v>1462</v>
      </c>
    </row>
    <row r="735" spans="1:5" ht="15" customHeight="1" x14ac:dyDescent="0.25">
      <c r="A735" s="113" t="s">
        <v>454</v>
      </c>
      <c r="B735" s="113" t="s">
        <v>116</v>
      </c>
      <c r="C735" s="114" t="s">
        <v>1026</v>
      </c>
      <c r="D735" s="113" t="s">
        <v>1089</v>
      </c>
      <c r="E735" s="113" t="s">
        <v>1463</v>
      </c>
    </row>
    <row r="736" spans="1:5" ht="15" customHeight="1" x14ac:dyDescent="0.25">
      <c r="A736" s="113" t="s">
        <v>454</v>
      </c>
      <c r="B736" s="113" t="s">
        <v>116</v>
      </c>
      <c r="C736" s="113" t="s">
        <v>1017</v>
      </c>
      <c r="D736" s="113" t="s">
        <v>78</v>
      </c>
      <c r="E736" s="113" t="s">
        <v>1464</v>
      </c>
    </row>
    <row r="737" spans="1:5" ht="15" customHeight="1" x14ac:dyDescent="0.25">
      <c r="A737" s="113" t="s">
        <v>454</v>
      </c>
      <c r="B737" s="113" t="s">
        <v>116</v>
      </c>
      <c r="C737" s="113" t="s">
        <v>1021</v>
      </c>
      <c r="D737" s="113" t="s">
        <v>1021</v>
      </c>
      <c r="E737" s="113" t="s">
        <v>1465</v>
      </c>
    </row>
    <row r="738" spans="1:5" ht="15" customHeight="1" x14ac:dyDescent="0.25">
      <c r="A738" s="113" t="s">
        <v>454</v>
      </c>
      <c r="B738" s="113" t="s">
        <v>116</v>
      </c>
      <c r="C738" s="113" t="s">
        <v>1021</v>
      </c>
      <c r="D738" s="113" t="s">
        <v>1021</v>
      </c>
      <c r="E738" s="113" t="s">
        <v>1466</v>
      </c>
    </row>
    <row r="739" spans="1:5" ht="15" customHeight="1" x14ac:dyDescent="0.25">
      <c r="A739" s="113" t="s">
        <v>454</v>
      </c>
      <c r="B739" s="113" t="s">
        <v>116</v>
      </c>
      <c r="C739" s="113" t="s">
        <v>1017</v>
      </c>
      <c r="D739" s="113" t="s">
        <v>78</v>
      </c>
      <c r="E739" s="113" t="s">
        <v>1467</v>
      </c>
    </row>
    <row r="740" spans="1:5" ht="15" customHeight="1" x14ac:dyDescent="0.25">
      <c r="A740" s="113" t="s">
        <v>454</v>
      </c>
      <c r="B740" s="113" t="s">
        <v>116</v>
      </c>
      <c r="C740" s="113" t="s">
        <v>1017</v>
      </c>
      <c r="D740" s="113" t="s">
        <v>1024</v>
      </c>
      <c r="E740" s="113" t="s">
        <v>1025</v>
      </c>
    </row>
    <row r="741" spans="1:5" ht="15" customHeight="1" x14ac:dyDescent="0.25">
      <c r="A741" s="113" t="s">
        <v>454</v>
      </c>
      <c r="B741" s="113" t="s">
        <v>116</v>
      </c>
      <c r="C741" s="114" t="s">
        <v>1026</v>
      </c>
      <c r="D741" s="113" t="s">
        <v>1027</v>
      </c>
      <c r="E741" s="113" t="s">
        <v>1468</v>
      </c>
    </row>
    <row r="742" spans="1:5" ht="25.5" customHeight="1" x14ac:dyDescent="0.25">
      <c r="A742" s="113" t="s">
        <v>454</v>
      </c>
      <c r="B742" s="113" t="s">
        <v>116</v>
      </c>
      <c r="C742" s="113" t="s">
        <v>1017</v>
      </c>
      <c r="D742" s="113" t="s">
        <v>78</v>
      </c>
      <c r="E742" s="113" t="s">
        <v>1469</v>
      </c>
    </row>
    <row r="743" spans="1:5" ht="25.5" customHeight="1" x14ac:dyDescent="0.25">
      <c r="A743" s="113" t="s">
        <v>511</v>
      </c>
      <c r="B743" s="113" t="s">
        <v>205</v>
      </c>
      <c r="C743" s="113" t="s">
        <v>1017</v>
      </c>
      <c r="D743" s="113" t="s">
        <v>78</v>
      </c>
      <c r="E743" s="113" t="s">
        <v>1470</v>
      </c>
    </row>
    <row r="744" spans="1:5" ht="25.5" customHeight="1" x14ac:dyDescent="0.25">
      <c r="A744" s="113" t="s">
        <v>511</v>
      </c>
      <c r="B744" s="113" t="s">
        <v>205</v>
      </c>
      <c r="C744" s="113" t="s">
        <v>1021</v>
      </c>
      <c r="D744" s="113" t="s">
        <v>1021</v>
      </c>
      <c r="E744" s="113" t="s">
        <v>1471</v>
      </c>
    </row>
    <row r="745" spans="1:5" ht="25.5" customHeight="1" x14ac:dyDescent="0.25">
      <c r="A745" s="113" t="s">
        <v>511</v>
      </c>
      <c r="B745" s="113" t="s">
        <v>205</v>
      </c>
      <c r="C745" s="113" t="s">
        <v>1017</v>
      </c>
      <c r="D745" s="113" t="s">
        <v>1024</v>
      </c>
      <c r="E745" s="113" t="s">
        <v>1025</v>
      </c>
    </row>
    <row r="746" spans="1:5" ht="25.5" customHeight="1" x14ac:dyDescent="0.25">
      <c r="A746" s="113" t="s">
        <v>511</v>
      </c>
      <c r="B746" s="113" t="s">
        <v>205</v>
      </c>
      <c r="C746" s="114" t="s">
        <v>1026</v>
      </c>
      <c r="D746" s="113" t="s">
        <v>1027</v>
      </c>
      <c r="E746" s="113" t="s">
        <v>1472</v>
      </c>
    </row>
    <row r="747" spans="1:5" ht="25.5" customHeight="1" x14ac:dyDescent="0.25">
      <c r="A747" s="113" t="s">
        <v>511</v>
      </c>
      <c r="B747" s="113" t="s">
        <v>205</v>
      </c>
      <c r="C747" s="113" t="s">
        <v>1017</v>
      </c>
      <c r="D747" s="113" t="s">
        <v>78</v>
      </c>
      <c r="E747" s="113" t="s">
        <v>1473</v>
      </c>
    </row>
    <row r="748" spans="1:5" ht="15" customHeight="1" x14ac:dyDescent="0.25">
      <c r="A748" s="113" t="s">
        <v>482</v>
      </c>
      <c r="B748" s="113" t="s">
        <v>163</v>
      </c>
      <c r="C748" s="113" t="s">
        <v>1017</v>
      </c>
      <c r="D748" s="113" t="s">
        <v>1043</v>
      </c>
      <c r="E748" s="113" t="s">
        <v>1044</v>
      </c>
    </row>
    <row r="749" spans="1:5" ht="15" customHeight="1" x14ac:dyDescent="0.25">
      <c r="A749" s="113" t="s">
        <v>482</v>
      </c>
      <c r="B749" s="113" t="s">
        <v>163</v>
      </c>
      <c r="C749" s="113" t="s">
        <v>1017</v>
      </c>
      <c r="D749" s="113" t="s">
        <v>1018</v>
      </c>
      <c r="E749" s="113" t="s">
        <v>1093</v>
      </c>
    </row>
    <row r="750" spans="1:5" ht="15" customHeight="1" x14ac:dyDescent="0.25">
      <c r="A750" s="113" t="s">
        <v>482</v>
      </c>
      <c r="B750" s="113" t="s">
        <v>163</v>
      </c>
      <c r="C750" s="113" t="s">
        <v>1017</v>
      </c>
      <c r="D750" s="113" t="s">
        <v>78</v>
      </c>
      <c r="E750" s="113" t="s">
        <v>1474</v>
      </c>
    </row>
    <row r="751" spans="1:5" ht="15" customHeight="1" x14ac:dyDescent="0.25">
      <c r="A751" s="113" t="s">
        <v>482</v>
      </c>
      <c r="B751" s="113" t="s">
        <v>163</v>
      </c>
      <c r="C751" s="114" t="s">
        <v>1026</v>
      </c>
      <c r="D751" s="113" t="s">
        <v>1027</v>
      </c>
      <c r="E751" s="113" t="s">
        <v>1475</v>
      </c>
    </row>
    <row r="752" spans="1:5" ht="15" customHeight="1" x14ac:dyDescent="0.25">
      <c r="A752" s="113" t="s">
        <v>482</v>
      </c>
      <c r="B752" s="113" t="s">
        <v>163</v>
      </c>
      <c r="C752" s="114" t="s">
        <v>1026</v>
      </c>
      <c r="D752" s="113" t="s">
        <v>1027</v>
      </c>
      <c r="E752" s="113" t="s">
        <v>1453</v>
      </c>
    </row>
    <row r="753" spans="1:5" ht="15" customHeight="1" x14ac:dyDescent="0.25">
      <c r="A753" s="113" t="s">
        <v>624</v>
      </c>
      <c r="B753" s="113" t="s">
        <v>339</v>
      </c>
      <c r="C753" s="113" t="s">
        <v>1017</v>
      </c>
      <c r="D753" s="113" t="s">
        <v>1043</v>
      </c>
      <c r="E753" s="113" t="s">
        <v>1044</v>
      </c>
    </row>
    <row r="754" spans="1:5" ht="15" customHeight="1" x14ac:dyDescent="0.25">
      <c r="A754" s="113" t="s">
        <v>624</v>
      </c>
      <c r="B754" s="113" t="s">
        <v>339</v>
      </c>
      <c r="C754" s="113" t="s">
        <v>1017</v>
      </c>
      <c r="D754" s="113" t="s">
        <v>1018</v>
      </c>
      <c r="E754" s="113" t="s">
        <v>1093</v>
      </c>
    </row>
    <row r="755" spans="1:5" ht="15" customHeight="1" x14ac:dyDescent="0.25">
      <c r="A755" s="113" t="s">
        <v>624</v>
      </c>
      <c r="B755" s="113" t="s">
        <v>339</v>
      </c>
      <c r="C755" s="113" t="s">
        <v>1017</v>
      </c>
      <c r="D755" s="113" t="s">
        <v>78</v>
      </c>
      <c r="E755" s="113" t="s">
        <v>1476</v>
      </c>
    </row>
    <row r="756" spans="1:5" ht="15" customHeight="1" x14ac:dyDescent="0.25">
      <c r="A756" s="113" t="s">
        <v>624</v>
      </c>
      <c r="B756" s="113" t="s">
        <v>339</v>
      </c>
      <c r="C756" s="114" t="s">
        <v>1026</v>
      </c>
      <c r="D756" s="113" t="s">
        <v>1027</v>
      </c>
      <c r="E756" s="113" t="s">
        <v>1477</v>
      </c>
    </row>
    <row r="757" spans="1:5" ht="15" customHeight="1" x14ac:dyDescent="0.25">
      <c r="A757" s="113" t="s">
        <v>635</v>
      </c>
      <c r="B757" s="113" t="s">
        <v>372</v>
      </c>
      <c r="C757" s="113" t="s">
        <v>1017</v>
      </c>
      <c r="D757" s="113" t="s">
        <v>1043</v>
      </c>
      <c r="E757" s="113" t="s">
        <v>1044</v>
      </c>
    </row>
    <row r="758" spans="1:5" ht="25.5" customHeight="1" x14ac:dyDescent="0.25">
      <c r="A758" s="113" t="s">
        <v>635</v>
      </c>
      <c r="B758" s="113" t="s">
        <v>372</v>
      </c>
      <c r="C758" s="113" t="s">
        <v>1017</v>
      </c>
      <c r="D758" s="113" t="s">
        <v>78</v>
      </c>
      <c r="E758" s="113" t="s">
        <v>1478</v>
      </c>
    </row>
    <row r="759" spans="1:5" ht="15" customHeight="1" x14ac:dyDescent="0.25">
      <c r="A759" s="113" t="s">
        <v>635</v>
      </c>
      <c r="B759" s="113" t="s">
        <v>372</v>
      </c>
      <c r="C759" s="114" t="s">
        <v>1026</v>
      </c>
      <c r="D759" s="113" t="s">
        <v>1027</v>
      </c>
      <c r="E759" s="113" t="s">
        <v>1479</v>
      </c>
    </row>
    <row r="760" spans="1:5" ht="15" customHeight="1" x14ac:dyDescent="0.25">
      <c r="A760" s="113" t="s">
        <v>593</v>
      </c>
      <c r="B760" s="113" t="s">
        <v>318</v>
      </c>
      <c r="C760" s="113" t="s">
        <v>1017</v>
      </c>
      <c r="D760" s="113" t="s">
        <v>78</v>
      </c>
      <c r="E760" s="113" t="s">
        <v>1480</v>
      </c>
    </row>
    <row r="761" spans="1:5" ht="15" customHeight="1" x14ac:dyDescent="0.25">
      <c r="A761" s="113" t="s">
        <v>593</v>
      </c>
      <c r="B761" s="113" t="s">
        <v>318</v>
      </c>
      <c r="C761" s="113" t="s">
        <v>1021</v>
      </c>
      <c r="D761" s="113" t="s">
        <v>1021</v>
      </c>
      <c r="E761" s="113" t="s">
        <v>1072</v>
      </c>
    </row>
    <row r="762" spans="1:5" ht="25.5" customHeight="1" x14ac:dyDescent="0.25">
      <c r="A762" s="113" t="s">
        <v>593</v>
      </c>
      <c r="B762" s="113" t="s">
        <v>318</v>
      </c>
      <c r="C762" s="113" t="s">
        <v>1017</v>
      </c>
      <c r="D762" s="113" t="s">
        <v>78</v>
      </c>
      <c r="E762" s="113" t="s">
        <v>1481</v>
      </c>
    </row>
    <row r="763" spans="1:5" ht="15" customHeight="1" x14ac:dyDescent="0.25">
      <c r="A763" s="113" t="s">
        <v>593</v>
      </c>
      <c r="B763" s="113" t="s">
        <v>318</v>
      </c>
      <c r="C763" s="114" t="s">
        <v>1026</v>
      </c>
      <c r="D763" s="113" t="s">
        <v>1027</v>
      </c>
      <c r="E763" s="113" t="s">
        <v>1372</v>
      </c>
    </row>
    <row r="764" spans="1:5" ht="15" customHeight="1" x14ac:dyDescent="0.25">
      <c r="A764" s="113" t="s">
        <v>602</v>
      </c>
      <c r="B764" s="113" t="s">
        <v>327</v>
      </c>
      <c r="C764" s="113" t="s">
        <v>1017</v>
      </c>
      <c r="D764" s="113" t="s">
        <v>1043</v>
      </c>
      <c r="E764" s="113" t="s">
        <v>1044</v>
      </c>
    </row>
    <row r="765" spans="1:5" ht="15" customHeight="1" x14ac:dyDescent="0.25">
      <c r="A765" s="113" t="s">
        <v>602</v>
      </c>
      <c r="B765" s="113" t="s">
        <v>327</v>
      </c>
      <c r="C765" s="113" t="s">
        <v>1017</v>
      </c>
      <c r="D765" s="113" t="s">
        <v>1018</v>
      </c>
      <c r="E765" s="113" t="s">
        <v>1093</v>
      </c>
    </row>
    <row r="766" spans="1:5" ht="25.5" customHeight="1" x14ac:dyDescent="0.25">
      <c r="A766" s="113" t="s">
        <v>602</v>
      </c>
      <c r="B766" s="113" t="s">
        <v>327</v>
      </c>
      <c r="C766" s="113" t="s">
        <v>1017</v>
      </c>
      <c r="D766" s="113" t="s">
        <v>78</v>
      </c>
      <c r="E766" s="113" t="s">
        <v>1482</v>
      </c>
    </row>
    <row r="767" spans="1:5" ht="15" customHeight="1" x14ac:dyDescent="0.25">
      <c r="A767" s="113" t="s">
        <v>602</v>
      </c>
      <c r="B767" s="113" t="s">
        <v>327</v>
      </c>
      <c r="C767" s="114" t="s">
        <v>1026</v>
      </c>
      <c r="D767" s="113" t="s">
        <v>1027</v>
      </c>
      <c r="E767" s="113" t="s">
        <v>1483</v>
      </c>
    </row>
  </sheetData>
  <autoFilter ref="A1:E767" xr:uid="{00000000-0009-0000-0000-000006000000}"/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205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27" sqref="F27"/>
    </sheetView>
  </sheetViews>
  <sheetFormatPr defaultColWidth="8.7109375" defaultRowHeight="15" x14ac:dyDescent="0.25"/>
  <cols>
    <col min="1" max="1" width="10" customWidth="1"/>
    <col min="2" max="2" width="34" customWidth="1"/>
    <col min="3" max="3" width="5" customWidth="1"/>
    <col min="4" max="4" width="9" customWidth="1"/>
    <col min="7" max="7" width="10" customWidth="1"/>
    <col min="10" max="10" width="8" customWidth="1"/>
    <col min="11" max="11" width="9" customWidth="1"/>
    <col min="14" max="14" width="12" customWidth="1"/>
    <col min="15" max="15" width="14" customWidth="1"/>
    <col min="16" max="16" width="9" customWidth="1"/>
    <col min="17" max="17" width="42" customWidth="1"/>
    <col min="18" max="18" width="8" customWidth="1"/>
    <col min="19" max="19" width="10" customWidth="1"/>
    <col min="20" max="20" width="12" customWidth="1"/>
    <col min="21" max="21" width="10" customWidth="1"/>
    <col min="22" max="22" width="90" customWidth="1"/>
  </cols>
  <sheetData>
    <row r="1" spans="1:22" ht="15.75" customHeight="1" x14ac:dyDescent="0.25">
      <c r="A1" s="115" t="s">
        <v>1484</v>
      </c>
    </row>
    <row r="2" spans="1:22" ht="15" customHeight="1" x14ac:dyDescent="0.25">
      <c r="A2" s="65" t="s">
        <v>1485</v>
      </c>
    </row>
    <row r="3" spans="1:22" ht="15" customHeight="1" x14ac:dyDescent="0.25">
      <c r="A3" s="116" t="s">
        <v>1486</v>
      </c>
    </row>
    <row r="4" spans="1:22" ht="43.5" customHeight="1" x14ac:dyDescent="0.25">
      <c r="A4" s="117" t="s">
        <v>1487</v>
      </c>
      <c r="B4" s="117" t="s">
        <v>1488</v>
      </c>
      <c r="C4" s="117" t="s">
        <v>1489</v>
      </c>
      <c r="D4" s="117" t="s">
        <v>1490</v>
      </c>
      <c r="E4" s="117" t="s">
        <v>1491</v>
      </c>
      <c r="F4" s="117" t="s">
        <v>1492</v>
      </c>
      <c r="G4" s="117" t="s">
        <v>1493</v>
      </c>
      <c r="H4" s="117" t="s">
        <v>1494</v>
      </c>
      <c r="I4" s="117" t="s">
        <v>1495</v>
      </c>
      <c r="J4" s="117" t="s">
        <v>1496</v>
      </c>
      <c r="K4" s="117" t="s">
        <v>1497</v>
      </c>
      <c r="L4" s="117" t="s">
        <v>56</v>
      </c>
      <c r="M4" s="117" t="s">
        <v>57</v>
      </c>
      <c r="N4" s="117" t="s">
        <v>1498</v>
      </c>
      <c r="O4" s="117" t="s">
        <v>1499</v>
      </c>
      <c r="P4" s="117" t="s">
        <v>1500</v>
      </c>
      <c r="Q4" s="117" t="s">
        <v>78</v>
      </c>
      <c r="R4" s="117" t="s">
        <v>1501</v>
      </c>
      <c r="S4" s="117" t="s">
        <v>52</v>
      </c>
      <c r="T4" s="117" t="s">
        <v>1502</v>
      </c>
      <c r="U4" s="117" t="s">
        <v>1503</v>
      </c>
      <c r="V4" s="117" t="s">
        <v>1504</v>
      </c>
    </row>
    <row r="5" spans="1:22" ht="15" customHeight="1" x14ac:dyDescent="0.25">
      <c r="A5" s="118" t="s">
        <v>438</v>
      </c>
      <c r="B5" s="118" t="s">
        <v>83</v>
      </c>
      <c r="C5" s="118" t="s">
        <v>84</v>
      </c>
      <c r="D5" s="119">
        <v>119</v>
      </c>
      <c r="E5" s="118">
        <f>COUNTIFS('Sac Parça Detay'!$A$2:$A$544,A5)</f>
        <v>6</v>
      </c>
      <c r="F5" s="118">
        <f>SUMIFS('Sac Parça Detay'!$G$2:$G$544,'Sac Parça Detay'!$A$2:$A$544,A5)</f>
        <v>24</v>
      </c>
      <c r="G5" s="120">
        <f>SUMPRODUCT(('Sac Parça Detay'!$A$2:$A$544=A5)*'Sac Parça Detay'!$K$2:$K$544*'Sac Parça Detay'!$G$2:$G$544)</f>
        <v>0.9704600000000001</v>
      </c>
      <c r="H5" s="120">
        <f>SUMPRODUCT(('Sac Parça Detay'!$A$2:$A$544=A5)*'Sac Parça Detay'!$M$2:$M$544*'Sac Parça Detay'!$G$2:$G$544)</f>
        <v>1.3586164899999997</v>
      </c>
      <c r="I5" s="120">
        <f t="shared" ref="I5:I36" si="0">H5-G5</f>
        <v>0.38815648999999963</v>
      </c>
      <c r="J5" s="121">
        <f t="shared" ref="J5:J36" si="1">IF(H5=0,0,I5/H5)</f>
        <v>0.28569982247160841</v>
      </c>
      <c r="K5" s="122">
        <f>SUMIFS('Sac Parça Detay'!$T$2:$T$544,'Sac Parça Detay'!$A$2:$A$544,A5)</f>
        <v>35.586781799999997</v>
      </c>
      <c r="L5" s="122">
        <f>SUMIFS('Sac Parça Detay'!$V$2:$V$544,'Sac Parça Detay'!$A$2:$A$544,A5)</f>
        <v>49.473645319999989</v>
      </c>
      <c r="M5" s="122">
        <f>SUMIFS('Sac Parça Detay'!$U$2:$U$544,'Sac Parça Detay'!$A$2:$A$544,A5)</f>
        <v>13.886863520000004</v>
      </c>
      <c r="N5" s="123">
        <f>SUMIFS('Sac Parça Detay'!$S$2:$S$544,'Sac Parça Detay'!$A$2:$A$544,A5)</f>
        <v>35.034124558545457</v>
      </c>
      <c r="O5" s="123">
        <f t="shared" ref="O5:O36" si="2">N5*D5</f>
        <v>4169.0608224669095</v>
      </c>
      <c r="P5" s="118">
        <v>76</v>
      </c>
      <c r="Q5" s="118" t="s">
        <v>1505</v>
      </c>
      <c r="R5" s="124" t="str">
        <f>HYPERLINK("Sac_Maliyet\1343489_sac_maliyet.html","aç")</f>
        <v>aç</v>
      </c>
      <c r="S5" s="118" t="s">
        <v>85</v>
      </c>
    </row>
    <row r="6" spans="1:22" ht="15" customHeight="1" x14ac:dyDescent="0.25">
      <c r="A6" s="118" t="s">
        <v>97</v>
      </c>
      <c r="B6" s="118" t="s">
        <v>98</v>
      </c>
      <c r="C6" s="118" t="s">
        <v>99</v>
      </c>
      <c r="D6" s="119">
        <v>56</v>
      </c>
      <c r="E6" s="118">
        <f>COUNTIFS('Sac Parça Detay'!$A$2:$A$544,A6)</f>
        <v>7</v>
      </c>
      <c r="F6" s="118">
        <f>SUMIFS('Sac Parça Detay'!$G$2:$G$544,'Sac Parça Detay'!$A$2:$A$544,A6)</f>
        <v>8</v>
      </c>
      <c r="G6" s="120">
        <f>SUMPRODUCT(('Sac Parça Detay'!$A$2:$A$544=A6)*'Sac Parça Detay'!$K$2:$K$544*'Sac Parça Detay'!$G$2:$G$544)</f>
        <v>1.4974430000000001</v>
      </c>
      <c r="H6" s="120">
        <f>SUMPRODUCT(('Sac Parça Detay'!$A$2:$A$544=A6)*'Sac Parça Detay'!$M$2:$M$544*'Sac Parça Detay'!$G$2:$G$544)</f>
        <v>3.2127308000000001</v>
      </c>
      <c r="I6" s="120">
        <f t="shared" si="0"/>
        <v>1.7152878</v>
      </c>
      <c r="J6" s="121">
        <f t="shared" si="1"/>
        <v>0.53390336968164276</v>
      </c>
      <c r="K6" s="122">
        <f>SUMIFS('Sac Parça Detay'!$T$2:$T$544,'Sac Parça Detay'!$A$2:$A$544,A6)</f>
        <v>62.04405285</v>
      </c>
      <c r="L6" s="122">
        <f>SUMIFS('Sac Parça Detay'!$V$2:$V$544,'Sac Parça Detay'!$A$2:$A$544,A6)</f>
        <v>129.4846039</v>
      </c>
      <c r="M6" s="122">
        <f>SUMIFS('Sac Parça Detay'!$U$2:$U$544,'Sac Parça Detay'!$A$2:$A$544,A6)</f>
        <v>67.440551049999996</v>
      </c>
      <c r="N6" s="123">
        <f>SUMIFS('Sac Parça Detay'!$S$2:$S$544,'Sac Parça Detay'!$A$2:$A$544,A6)</f>
        <v>81.516230049090908</v>
      </c>
      <c r="O6" s="123">
        <f t="shared" si="2"/>
        <v>4564.9088827490905</v>
      </c>
      <c r="P6" s="118">
        <v>11</v>
      </c>
      <c r="Q6" s="118"/>
      <c r="R6" s="124" t="str">
        <f>HYPERLINK("Sac_Maliyet\0913348_sac_maliyet.html","aç")</f>
        <v>aç</v>
      </c>
      <c r="S6" s="118" t="s">
        <v>85</v>
      </c>
    </row>
    <row r="7" spans="1:22" ht="15" customHeight="1" x14ac:dyDescent="0.25">
      <c r="A7" s="125" t="s">
        <v>179</v>
      </c>
      <c r="B7" s="125" t="s">
        <v>180</v>
      </c>
      <c r="C7" s="125" t="s">
        <v>93</v>
      </c>
      <c r="D7" s="126">
        <v>10</v>
      </c>
      <c r="E7" s="125">
        <f>COUNTIFS('Sac Parça Detay'!$A$2:$A$544,A7)</f>
        <v>7</v>
      </c>
      <c r="F7" s="125">
        <f>SUMIFS('Sac Parça Detay'!$G$2:$G$544,'Sac Parça Detay'!$A$2:$A$544,A7)</f>
        <v>8</v>
      </c>
      <c r="G7" s="127">
        <f>SUMPRODUCT(('Sac Parça Detay'!$A$2:$A$544=A7)*'Sac Parça Detay'!$K$2:$K$544*'Sac Parça Detay'!$G$2:$G$544)</f>
        <v>1.37784</v>
      </c>
      <c r="H7" s="127">
        <f>SUMPRODUCT(('Sac Parça Detay'!$A$2:$A$544=A7)*'Sac Parça Detay'!$M$2:$M$544*'Sac Parça Detay'!$G$2:$G$544)</f>
        <v>2.7992846999999998</v>
      </c>
      <c r="I7" s="127">
        <f t="shared" si="0"/>
        <v>1.4214446999999999</v>
      </c>
      <c r="J7" s="128">
        <f t="shared" si="1"/>
        <v>0.50778854326607081</v>
      </c>
      <c r="K7" s="129">
        <f>SUMIFS('Sac Parça Detay'!$T$2:$T$544,'Sac Parça Detay'!$A$2:$A$544,A7)</f>
        <v>57.351173700000004</v>
      </c>
      <c r="L7" s="129">
        <f>SUMIFS('Sac Parça Detay'!$V$2:$V$544,'Sac Parça Detay'!$A$2:$A$544,A7)</f>
        <v>113.25684447500001</v>
      </c>
      <c r="M7" s="129">
        <f>SUMIFS('Sac Parça Detay'!$U$2:$U$544,'Sac Parça Detay'!$A$2:$A$544,A7)</f>
        <v>55.905670775000004</v>
      </c>
      <c r="N7" s="130">
        <f>SUMIFS('Sac Parça Detay'!$S$2:$S$544,'Sac Parça Detay'!$A$2:$A$544,A7)</f>
        <v>72.30907423545456</v>
      </c>
      <c r="O7" s="130">
        <f t="shared" si="2"/>
        <v>723.09074235454557</v>
      </c>
      <c r="P7" s="125">
        <v>4</v>
      </c>
      <c r="Q7" s="125"/>
      <c r="R7" s="131" t="str">
        <f>HYPERLINK("Sac_Maliyet\0905890_sac_maliyet.html","aç")</f>
        <v>aç</v>
      </c>
      <c r="S7" s="125" t="s">
        <v>85</v>
      </c>
      <c r="T7" s="132">
        <v>90.358398629220005</v>
      </c>
      <c r="U7" s="133">
        <f>N7-T7</f>
        <v>-18.049324393765446</v>
      </c>
      <c r="V7" s="134" t="s">
        <v>1506</v>
      </c>
    </row>
    <row r="8" spans="1:22" ht="15" customHeight="1" x14ac:dyDescent="0.25">
      <c r="A8" s="118" t="s">
        <v>126</v>
      </c>
      <c r="B8" s="118" t="s">
        <v>127</v>
      </c>
      <c r="C8" s="118" t="s">
        <v>119</v>
      </c>
      <c r="D8" s="119">
        <v>27</v>
      </c>
      <c r="E8" s="118">
        <f>COUNTIFS('Sac Parça Detay'!$A$2:$A$544,A8)</f>
        <v>7</v>
      </c>
      <c r="F8" s="118">
        <f>SUMIFS('Sac Parça Detay'!$G$2:$G$544,'Sac Parça Detay'!$A$2:$A$544,A8)</f>
        <v>8</v>
      </c>
      <c r="G8" s="120">
        <f>SUMPRODUCT(('Sac Parça Detay'!$A$2:$A$544=A8)*'Sac Parça Detay'!$K$2:$K$544*'Sac Parça Detay'!$G$2:$G$544)</f>
        <v>1.3331519999999999</v>
      </c>
      <c r="H8" s="120">
        <f>SUMPRODUCT(('Sac Parça Detay'!$A$2:$A$544=A8)*'Sac Parça Detay'!$M$2:$M$544*'Sac Parça Detay'!$G$2:$G$544)</f>
        <v>2.7684509999999998</v>
      </c>
      <c r="I8" s="120">
        <f t="shared" si="0"/>
        <v>1.4352989999999999</v>
      </c>
      <c r="J8" s="121">
        <f t="shared" si="1"/>
        <v>0.51844840309617179</v>
      </c>
      <c r="K8" s="122">
        <f>SUMIFS('Sac Parça Detay'!$T$2:$T$544,'Sac Parça Detay'!$A$2:$A$544,A8)</f>
        <v>55.595631099999999</v>
      </c>
      <c r="L8" s="122">
        <f>SUMIFS('Sac Parça Detay'!$V$2:$V$544,'Sac Parça Detay'!$A$2:$A$544,A8)</f>
        <v>112.04662175000001</v>
      </c>
      <c r="M8" s="122">
        <f>SUMIFS('Sac Parça Detay'!$U$2:$U$544,'Sac Parça Detay'!$A$2:$A$544,A8)</f>
        <v>56.450990650000001</v>
      </c>
      <c r="N8" s="123">
        <f>SUMIFS('Sac Parça Detay'!$S$2:$S$544,'Sac Parça Detay'!$A$2:$A$544,A8)</f>
        <v>71.162427732727281</v>
      </c>
      <c r="O8" s="123">
        <f t="shared" si="2"/>
        <v>1921.3855487836365</v>
      </c>
      <c r="P8" s="118">
        <v>0</v>
      </c>
      <c r="Q8" s="118"/>
      <c r="R8" s="124" t="str">
        <f>HYPERLINK("Sac_Maliyet\0896250_sac_maliyet.html","aç")</f>
        <v>aç</v>
      </c>
      <c r="S8" s="118" t="s">
        <v>85</v>
      </c>
    </row>
    <row r="9" spans="1:22" ht="15" customHeight="1" x14ac:dyDescent="0.25">
      <c r="A9" s="118" t="s">
        <v>562</v>
      </c>
      <c r="B9" s="118" t="s">
        <v>272</v>
      </c>
      <c r="C9" s="118" t="s">
        <v>99</v>
      </c>
      <c r="D9" s="119">
        <v>5</v>
      </c>
      <c r="E9" s="118">
        <f>COUNTIFS('Sac Parça Detay'!$A$2:$A$544,A9)</f>
        <v>9</v>
      </c>
      <c r="F9" s="118">
        <f>SUMIFS('Sac Parça Detay'!$G$2:$G$544,'Sac Parça Detay'!$A$2:$A$544,A9)</f>
        <v>11</v>
      </c>
      <c r="G9" s="120">
        <f>SUMPRODUCT(('Sac Parça Detay'!$A$2:$A$544=A9)*'Sac Parça Detay'!$K$2:$K$544*'Sac Parça Detay'!$G$2:$G$544)</f>
        <v>1.0384850000000003</v>
      </c>
      <c r="H9" s="120">
        <f>SUMPRODUCT(('Sac Parça Detay'!$A$2:$A$544=A9)*'Sac Parça Detay'!$M$2:$M$544*'Sac Parça Detay'!$G$2:$G$544)</f>
        <v>2.0284733999999998</v>
      </c>
      <c r="I9" s="120">
        <f t="shared" si="0"/>
        <v>0.98998839999999944</v>
      </c>
      <c r="J9" s="121">
        <f t="shared" si="1"/>
        <v>0.48804603501332555</v>
      </c>
      <c r="K9" s="122">
        <f>SUMIFS('Sac Parça Detay'!$T$2:$T$544,'Sac Parça Detay'!$A$2:$A$544,A9)</f>
        <v>52.144975199999998</v>
      </c>
      <c r="L9" s="122">
        <f>SUMIFS('Sac Parça Detay'!$V$2:$V$544,'Sac Parça Detay'!$A$2:$A$544,A9)</f>
        <v>98.918418339999988</v>
      </c>
      <c r="M9" s="122">
        <f>SUMIFS('Sac Parça Detay'!$U$2:$U$544,'Sac Parça Detay'!$A$2:$A$544,A9)</f>
        <v>46.773443139999991</v>
      </c>
      <c r="N9" s="123">
        <f>SUMIFS('Sac Parça Detay'!$S$2:$S$544,'Sac Parça Detay'!$A$2:$A$544,A9)</f>
        <v>63.827062371636366</v>
      </c>
      <c r="O9" s="123">
        <f t="shared" si="2"/>
        <v>319.13531185818181</v>
      </c>
      <c r="P9" s="118">
        <v>4</v>
      </c>
      <c r="Q9" s="118"/>
      <c r="R9" s="124" t="str">
        <f>HYPERLINK("Sac_Maliyet\1254954_sac_maliyet.html","aç")</f>
        <v>aç</v>
      </c>
      <c r="S9" s="118" t="s">
        <v>85</v>
      </c>
    </row>
    <row r="10" spans="1:22" ht="15" customHeight="1" x14ac:dyDescent="0.25">
      <c r="A10" s="118" t="s">
        <v>545</v>
      </c>
      <c r="B10" s="118" t="s">
        <v>245</v>
      </c>
      <c r="C10" s="118" t="s">
        <v>246</v>
      </c>
      <c r="D10" s="119">
        <v>1</v>
      </c>
      <c r="E10" s="118">
        <f>COUNTIFS('Sac Parça Detay'!$A$2:$A$544,A10)</f>
        <v>15</v>
      </c>
      <c r="F10" s="118">
        <f>SUMIFS('Sac Parça Detay'!$G$2:$G$544,'Sac Parça Detay'!$A$2:$A$544,A10)</f>
        <v>19</v>
      </c>
      <c r="G10" s="120">
        <f>SUMPRODUCT(('Sac Parça Detay'!$A$2:$A$544=A10)*'Sac Parça Detay'!$K$2:$K$544*'Sac Parça Detay'!$G$2:$G$544)</f>
        <v>1.5099289999999999</v>
      </c>
      <c r="H10" s="120">
        <f>SUMPRODUCT(('Sac Parça Detay'!$A$2:$A$544=A10)*'Sac Parça Detay'!$M$2:$M$544*'Sac Parça Detay'!$G$2:$G$544)</f>
        <v>1.7039497600000004</v>
      </c>
      <c r="I10" s="120">
        <f t="shared" si="0"/>
        <v>0.19402076000000057</v>
      </c>
      <c r="J10" s="121">
        <f t="shared" si="1"/>
        <v>0.11386530551229428</v>
      </c>
      <c r="K10" s="122">
        <f>SUMIFS('Sac Parça Detay'!$T$2:$T$544,'Sac Parça Detay'!$A$2:$A$544,A10)</f>
        <v>47.662476049999995</v>
      </c>
      <c r="L10" s="122">
        <f>SUMIFS('Sac Parça Detay'!$V$2:$V$544,'Sac Parça Detay'!$A$2:$A$544,A10)</f>
        <v>53.807028539000001</v>
      </c>
      <c r="M10" s="122">
        <f>SUMIFS('Sac Parça Detay'!$U$2:$U$544,'Sac Parça Detay'!$A$2:$A$544,A10)</f>
        <v>6.1460282890000002</v>
      </c>
      <c r="N10" s="123">
        <f>SUMIFS('Sac Parça Detay'!$S$2:$S$544,'Sac Parça Detay'!$A$2:$A$544,A10)</f>
        <v>41.035376031163636</v>
      </c>
      <c r="O10" s="123">
        <f t="shared" si="2"/>
        <v>41.035376031163636</v>
      </c>
      <c r="P10" s="118">
        <v>1</v>
      </c>
      <c r="Q10" s="118" t="s">
        <v>1507</v>
      </c>
      <c r="R10" s="124" t="str">
        <f>HYPERLINK("Sac_Maliyet\125815_sac_maliyet.html","aç")</f>
        <v>aç</v>
      </c>
      <c r="S10" s="118" t="s">
        <v>85</v>
      </c>
    </row>
    <row r="11" spans="1:22" ht="15" customHeight="1" x14ac:dyDescent="0.25">
      <c r="A11" s="118" t="s">
        <v>510</v>
      </c>
      <c r="B11" s="118" t="s">
        <v>203</v>
      </c>
      <c r="C11" s="118" t="s">
        <v>119</v>
      </c>
      <c r="D11" s="119">
        <v>5</v>
      </c>
      <c r="E11" s="118">
        <f>COUNTIFS('Sac Parça Detay'!$A$2:$A$544,A11)</f>
        <v>7</v>
      </c>
      <c r="F11" s="118">
        <f>SUMIFS('Sac Parça Detay'!$G$2:$G$544,'Sac Parça Detay'!$A$2:$A$544,A11)</f>
        <v>8</v>
      </c>
      <c r="G11" s="120">
        <f>SUMPRODUCT(('Sac Parça Detay'!$A$2:$A$544=A11)*'Sac Parça Detay'!$K$2:$K$544*'Sac Parça Detay'!$G$2:$G$544)</f>
        <v>1.0887770000000001</v>
      </c>
      <c r="H11" s="120">
        <f>SUMPRODUCT(('Sac Parça Detay'!$A$2:$A$544=A11)*'Sac Parça Detay'!$M$2:$M$544*'Sac Parça Detay'!$G$2:$G$544)</f>
        <v>2.4405166</v>
      </c>
      <c r="I11" s="120">
        <f t="shared" si="0"/>
        <v>1.3517395999999999</v>
      </c>
      <c r="J11" s="121">
        <f t="shared" si="1"/>
        <v>0.55387437233575876</v>
      </c>
      <c r="K11" s="122">
        <f>SUMIFS('Sac Parça Detay'!$T$2:$T$544,'Sac Parça Detay'!$A$2:$A$544,A11)</f>
        <v>46.003912349999993</v>
      </c>
      <c r="L11" s="122">
        <f>SUMIFS('Sac Parça Detay'!$V$2:$V$544,'Sac Parça Detay'!$A$2:$A$544,A11)</f>
        <v>99.17519655000001</v>
      </c>
      <c r="M11" s="122">
        <f>SUMIFS('Sac Parça Detay'!$U$2:$U$544,'Sac Parça Detay'!$A$2:$A$544,A11)</f>
        <v>53.171284199999995</v>
      </c>
      <c r="N11" s="123">
        <f>SUMIFS('Sac Parça Detay'!$S$2:$S$544,'Sac Parça Detay'!$A$2:$A$544,A11)</f>
        <v>61.938646047272726</v>
      </c>
      <c r="O11" s="123">
        <f t="shared" si="2"/>
        <v>309.69323023636366</v>
      </c>
      <c r="P11" s="118">
        <v>3</v>
      </c>
      <c r="Q11" s="118"/>
      <c r="R11" s="124" t="str">
        <f>HYPERLINK("Sac_Maliyet\109189_sac_maliyet.html","aç")</f>
        <v>aç</v>
      </c>
      <c r="S11" s="118" t="s">
        <v>85</v>
      </c>
    </row>
    <row r="12" spans="1:22" ht="15" customHeight="1" x14ac:dyDescent="0.25">
      <c r="A12" s="118" t="s">
        <v>454</v>
      </c>
      <c r="B12" s="118" t="s">
        <v>116</v>
      </c>
      <c r="C12" s="118" t="s">
        <v>117</v>
      </c>
      <c r="D12" s="119">
        <v>78</v>
      </c>
      <c r="E12" s="118">
        <f>COUNTIFS('Sac Parça Detay'!$A$2:$A$544,A12)</f>
        <v>4</v>
      </c>
      <c r="F12" s="118">
        <f>SUMIFS('Sac Parça Detay'!$G$2:$G$544,'Sac Parça Detay'!$A$2:$A$544,A12)</f>
        <v>7</v>
      </c>
      <c r="G12" s="120">
        <f>SUMPRODUCT(('Sac Parça Detay'!$A$2:$A$544=A12)*'Sac Parça Detay'!$K$2:$K$544*'Sac Parça Detay'!$G$2:$G$544)</f>
        <v>1.3950240000000003</v>
      </c>
      <c r="H12" s="120">
        <f>SUMPRODUCT(('Sac Parça Detay'!$A$2:$A$544=A12)*'Sac Parça Detay'!$M$2:$M$544*'Sac Parça Detay'!$G$2:$G$544)</f>
        <v>1.410372</v>
      </c>
      <c r="I12" s="120">
        <f t="shared" si="0"/>
        <v>1.5347999999999695E-2</v>
      </c>
      <c r="J12" s="121">
        <f t="shared" si="1"/>
        <v>1.0882235325148043E-2</v>
      </c>
      <c r="K12" s="122">
        <f>SUMIFS('Sac Parça Detay'!$T$2:$T$544,'Sac Parça Detay'!$A$2:$A$544,A12)</f>
        <v>38.888774400000003</v>
      </c>
      <c r="L12" s="122">
        <f>SUMIFS('Sac Parça Detay'!$V$2:$V$544,'Sac Parça Detay'!$A$2:$A$544,A12)</f>
        <v>40.674900600000001</v>
      </c>
      <c r="M12" s="122">
        <f>SUMIFS('Sac Parça Detay'!$U$2:$U$544,'Sac Parça Detay'!$A$2:$A$544,A12)</f>
        <v>1.7861261999999989</v>
      </c>
      <c r="N12" s="123">
        <f>SUMIFS('Sac Parça Detay'!$S$2:$S$544,'Sac Parça Detay'!$A$2:$A$544,A12)</f>
        <v>31.955370087272726</v>
      </c>
      <c r="O12" s="123">
        <f t="shared" si="2"/>
        <v>2492.5188668072728</v>
      </c>
      <c r="P12" s="118">
        <v>0</v>
      </c>
      <c r="Q12" s="118"/>
      <c r="R12" s="124" t="str">
        <f>HYPERLINK("Sac_Maliyet\701340_sac_maliyet.html","aç")</f>
        <v>aç</v>
      </c>
      <c r="S12" s="118" t="s">
        <v>85</v>
      </c>
    </row>
    <row r="13" spans="1:22" ht="15" customHeight="1" x14ac:dyDescent="0.25">
      <c r="A13" s="118" t="s">
        <v>444</v>
      </c>
      <c r="B13" s="118" t="s">
        <v>102</v>
      </c>
      <c r="C13" s="118" t="s">
        <v>103</v>
      </c>
      <c r="D13" s="119">
        <v>83</v>
      </c>
      <c r="E13" s="118">
        <f>COUNTIFS('Sac Parça Detay'!$A$2:$A$544,A13)</f>
        <v>6</v>
      </c>
      <c r="F13" s="118">
        <f>SUMIFS('Sac Parça Detay'!$G$2:$G$544,'Sac Parça Detay'!$A$2:$A$544,A13)</f>
        <v>9</v>
      </c>
      <c r="G13" s="120">
        <f>SUMPRODUCT(('Sac Parça Detay'!$A$2:$A$544=A13)*'Sac Parça Detay'!$K$2:$K$544*'Sac Parça Detay'!$G$2:$G$544)</f>
        <v>0.41376400000000002</v>
      </c>
      <c r="H13" s="120">
        <f>SUMPRODUCT(('Sac Parça Detay'!$A$2:$A$544=A13)*'Sac Parça Detay'!$M$2:$M$544*'Sac Parça Detay'!$G$2:$G$544)</f>
        <v>0.58814250000000001</v>
      </c>
      <c r="I13" s="120">
        <f t="shared" si="0"/>
        <v>0.17437849999999999</v>
      </c>
      <c r="J13" s="121">
        <f t="shared" si="1"/>
        <v>0.29649022133241515</v>
      </c>
      <c r="K13" s="122">
        <f>SUMIFS('Sac Parça Detay'!$T$2:$T$544,'Sac Parça Detay'!$A$2:$A$544,A13)</f>
        <v>32.692737999999999</v>
      </c>
      <c r="L13" s="122">
        <f>SUMIFS('Sac Parça Detay'!$V$2:$V$544,'Sac Parça Detay'!$A$2:$A$544,A13)</f>
        <v>45.420767249999997</v>
      </c>
      <c r="M13" s="122">
        <f>SUMIFS('Sac Parça Detay'!$U$2:$U$544,'Sac Parça Detay'!$A$2:$A$544,A13)</f>
        <v>12.728029250000001</v>
      </c>
      <c r="N13" s="123">
        <f>SUMIFS('Sac Parça Detay'!$S$2:$S$544,'Sac Parça Detay'!$A$2:$A$544,A13)</f>
        <v>32.171076954545462</v>
      </c>
      <c r="O13" s="123">
        <f t="shared" si="2"/>
        <v>2670.1993872272733</v>
      </c>
      <c r="P13" s="118">
        <v>2</v>
      </c>
      <c r="Q13" s="118"/>
      <c r="R13" s="124" t="str">
        <f>HYPERLINK("Sac_Maliyet\103116_sac_maliyet.html","aç")</f>
        <v>aç</v>
      </c>
      <c r="S13" s="118" t="s">
        <v>85</v>
      </c>
    </row>
    <row r="14" spans="1:22" ht="15" customHeight="1" x14ac:dyDescent="0.25">
      <c r="A14" s="118" t="s">
        <v>521</v>
      </c>
      <c r="B14" s="118" t="s">
        <v>215</v>
      </c>
      <c r="C14" s="118" t="s">
        <v>216</v>
      </c>
      <c r="D14" s="119">
        <v>5</v>
      </c>
      <c r="E14" s="118">
        <f>COUNTIFS('Sac Parça Detay'!$A$2:$A$544,A14)</f>
        <v>4</v>
      </c>
      <c r="F14" s="118">
        <f>SUMIFS('Sac Parça Detay'!$G$2:$G$544,'Sac Parça Detay'!$A$2:$A$544,A14)</f>
        <v>11</v>
      </c>
      <c r="G14" s="120">
        <f>SUMPRODUCT(('Sac Parça Detay'!$A$2:$A$544=A14)*'Sac Parça Detay'!$K$2:$K$544*'Sac Parça Detay'!$G$2:$G$544)</f>
        <v>0.36152099999999998</v>
      </c>
      <c r="H14" s="120">
        <f>SUMPRODUCT(('Sac Parça Detay'!$A$2:$A$544=A14)*'Sac Parça Detay'!$M$2:$M$544*'Sac Parça Detay'!$G$2:$G$544)</f>
        <v>0.47233250000000004</v>
      </c>
      <c r="I14" s="120">
        <f t="shared" si="0"/>
        <v>0.11081150000000006</v>
      </c>
      <c r="J14" s="121">
        <f t="shared" si="1"/>
        <v>0.23460485992388846</v>
      </c>
      <c r="K14" s="122">
        <f>SUMIFS('Sac Parça Detay'!$T$2:$T$544,'Sac Parça Detay'!$A$2:$A$544,A14)</f>
        <v>30.985716249999999</v>
      </c>
      <c r="L14" s="122">
        <f>SUMIFS('Sac Parça Detay'!$V$2:$V$544,'Sac Parça Detay'!$A$2:$A$544,A14)</f>
        <v>40.495991249999989</v>
      </c>
      <c r="M14" s="122">
        <f>SUMIFS('Sac Parça Detay'!$U$2:$U$544,'Sac Parça Detay'!$A$2:$A$544,A14)</f>
        <v>9.5102749999999983</v>
      </c>
      <c r="N14" s="123">
        <f>SUMIFS('Sac Parça Detay'!$S$2:$S$544,'Sac Parça Detay'!$A$2:$A$544,A14)</f>
        <v>29.284339363636366</v>
      </c>
      <c r="O14" s="123">
        <f t="shared" si="2"/>
        <v>146.42169681818183</v>
      </c>
      <c r="P14" s="118">
        <v>0</v>
      </c>
      <c r="Q14" s="118"/>
      <c r="R14" s="124" t="str">
        <f>HYPERLINK("Sac_Maliyet\105774_sac_maliyet.html","aç")</f>
        <v>aç</v>
      </c>
      <c r="S14" s="118" t="s">
        <v>85</v>
      </c>
    </row>
    <row r="15" spans="1:22" ht="15" customHeight="1" x14ac:dyDescent="0.25">
      <c r="A15" s="118" t="s">
        <v>485</v>
      </c>
      <c r="B15" s="118" t="s">
        <v>167</v>
      </c>
      <c r="C15" s="118" t="s">
        <v>107</v>
      </c>
      <c r="D15" s="119">
        <v>19</v>
      </c>
      <c r="E15" s="118">
        <f>COUNTIFS('Sac Parça Detay'!$A$2:$A$544,A15)</f>
        <v>3</v>
      </c>
      <c r="F15" s="118">
        <f>SUMIFS('Sac Parça Detay'!$G$2:$G$544,'Sac Parça Detay'!$A$2:$A$544,A15)</f>
        <v>4</v>
      </c>
      <c r="G15" s="120">
        <f>SUMPRODUCT(('Sac Parça Detay'!$A$2:$A$544=A15)*'Sac Parça Detay'!$K$2:$K$544*'Sac Parça Detay'!$G$2:$G$544)</f>
        <v>0.32443100000000002</v>
      </c>
      <c r="H15" s="120">
        <f>SUMPRODUCT(('Sac Parça Detay'!$A$2:$A$544=A15)*'Sac Parça Detay'!$M$2:$M$544*'Sac Parça Detay'!$G$2:$G$544)</f>
        <v>0.34917499999999996</v>
      </c>
      <c r="I15" s="120">
        <f t="shared" si="0"/>
        <v>2.4743999999999933E-2</v>
      </c>
      <c r="J15" s="121">
        <f t="shared" si="1"/>
        <v>7.0864179852509299E-2</v>
      </c>
      <c r="K15" s="122">
        <f>SUMIFS('Sac Parça Detay'!$T$2:$T$544,'Sac Parça Detay'!$A$2:$A$544,A15)</f>
        <v>26.959977199999997</v>
      </c>
      <c r="L15" s="122">
        <f>SUMIFS('Sac Parça Detay'!$V$2:$V$544,'Sac Parça Detay'!$A$2:$A$544,A15)</f>
        <v>28.964537499999999</v>
      </c>
      <c r="M15" s="122">
        <f>SUMIFS('Sac Parça Detay'!$U$2:$U$544,'Sac Parça Detay'!$A$2:$A$544,A15)</f>
        <v>2.0045602999999996</v>
      </c>
      <c r="N15" s="123">
        <f>SUMIFS('Sac Parça Detay'!$S$2:$S$544,'Sac Parça Detay'!$A$2:$A$544,A15)</f>
        <v>22.515592083636363</v>
      </c>
      <c r="O15" s="123">
        <f t="shared" si="2"/>
        <v>427.79624958909091</v>
      </c>
      <c r="P15" s="118">
        <v>0</v>
      </c>
      <c r="Q15" s="118"/>
      <c r="R15" s="124" t="str">
        <f>HYPERLINK("Sac_Maliyet\182458_sac_maliyet.html","aç")</f>
        <v>aç</v>
      </c>
      <c r="S15" s="118" t="s">
        <v>85</v>
      </c>
    </row>
    <row r="16" spans="1:22" ht="15" customHeight="1" x14ac:dyDescent="0.25">
      <c r="A16" s="118" t="s">
        <v>486</v>
      </c>
      <c r="B16" s="118" t="s">
        <v>168</v>
      </c>
      <c r="C16" s="118" t="s">
        <v>119</v>
      </c>
      <c r="D16" s="119">
        <v>19</v>
      </c>
      <c r="E16" s="118">
        <f>COUNTIFS('Sac Parça Detay'!$A$2:$A$544,A16)</f>
        <v>3</v>
      </c>
      <c r="F16" s="118">
        <f>SUMIFS('Sac Parça Detay'!$G$2:$G$544,'Sac Parça Detay'!$A$2:$A$544,A16)</f>
        <v>4</v>
      </c>
      <c r="G16" s="120">
        <f>SUMPRODUCT(('Sac Parça Detay'!$A$2:$A$544=A16)*'Sac Parça Detay'!$K$2:$K$544*'Sac Parça Detay'!$G$2:$G$544)</f>
        <v>0.322876</v>
      </c>
      <c r="H16" s="120">
        <f>SUMPRODUCT(('Sac Parça Detay'!$A$2:$A$544=A16)*'Sac Parça Detay'!$M$2:$M$544*'Sac Parça Detay'!$G$2:$G$544)</f>
        <v>0.34752500000000003</v>
      </c>
      <c r="I16" s="120">
        <f t="shared" si="0"/>
        <v>2.4649000000000032E-2</v>
      </c>
      <c r="J16" s="121">
        <f t="shared" si="1"/>
        <v>7.0927271419322438E-2</v>
      </c>
      <c r="K16" s="122">
        <f>SUMIFS('Sac Parça Detay'!$T$2:$T$544,'Sac Parça Detay'!$A$2:$A$544,A16)</f>
        <v>26.837909699999997</v>
      </c>
      <c r="L16" s="122">
        <f>SUMIFS('Sac Parça Detay'!$V$2:$V$544,'Sac Parça Detay'!$A$2:$A$544,A16)</f>
        <v>28.835012499999998</v>
      </c>
      <c r="M16" s="122">
        <f>SUMIFS('Sac Parça Detay'!$U$2:$U$544,'Sac Parça Detay'!$A$2:$A$544,A16)</f>
        <v>1.9971028000000008</v>
      </c>
      <c r="N16" s="123">
        <f>SUMIFS('Sac Parça Detay'!$S$2:$S$544,'Sac Parça Detay'!$A$2:$A$544,A16)</f>
        <v>22.414412720000001</v>
      </c>
      <c r="O16" s="123">
        <f t="shared" si="2"/>
        <v>425.87384168000006</v>
      </c>
      <c r="P16" s="118">
        <v>0</v>
      </c>
      <c r="Q16" s="118"/>
      <c r="R16" s="124" t="str">
        <f>HYPERLINK("Sac_Maliyet\182459_sac_maliyet.html","aç")</f>
        <v>aç</v>
      </c>
      <c r="S16" s="118" t="s">
        <v>85</v>
      </c>
    </row>
    <row r="17" spans="1:19" ht="15" customHeight="1" x14ac:dyDescent="0.25">
      <c r="A17" s="118" t="s">
        <v>542</v>
      </c>
      <c r="B17" s="118" t="s">
        <v>242</v>
      </c>
      <c r="C17" s="118" t="s">
        <v>243</v>
      </c>
      <c r="D17" s="119">
        <v>3</v>
      </c>
      <c r="E17" s="118">
        <f>COUNTIFS('Sac Parça Detay'!$A$2:$A$544,A17)</f>
        <v>3</v>
      </c>
      <c r="F17" s="118">
        <f>SUMIFS('Sac Parça Detay'!$G$2:$G$544,'Sac Parça Detay'!$A$2:$A$544,A17)</f>
        <v>4</v>
      </c>
      <c r="G17" s="120">
        <f>SUMPRODUCT(('Sac Parça Detay'!$A$2:$A$544=A17)*'Sac Parça Detay'!$K$2:$K$544*'Sac Parça Detay'!$G$2:$G$544)</f>
        <v>0.33379000000000003</v>
      </c>
      <c r="H17" s="120">
        <f>SUMPRODUCT(('Sac Parça Detay'!$A$2:$A$544=A17)*'Sac Parça Detay'!$M$2:$M$544*'Sac Parça Detay'!$G$2:$G$544)</f>
        <v>0.34917500000000001</v>
      </c>
      <c r="I17" s="120">
        <f t="shared" si="0"/>
        <v>1.5384999999999982E-2</v>
      </c>
      <c r="J17" s="121">
        <f t="shared" si="1"/>
        <v>4.4061000930765322E-2</v>
      </c>
      <c r="K17" s="122">
        <f>SUMIFS('Sac Parça Detay'!$T$2:$T$544,'Sac Parça Detay'!$A$2:$A$544,A17)</f>
        <v>27.729544099999998</v>
      </c>
      <c r="L17" s="122">
        <f>SUMIFS('Sac Parça Detay'!$V$2:$V$544,'Sac Parça Detay'!$A$2:$A$544,A17)</f>
        <v>28.964537499999999</v>
      </c>
      <c r="M17" s="122">
        <f>SUMIFS('Sac Parça Detay'!$U$2:$U$544,'Sac Parça Detay'!$A$2:$A$544,A17)</f>
        <v>1.2349933999999991</v>
      </c>
      <c r="N17" s="123">
        <f>SUMIFS('Sac Parça Detay'!$S$2:$S$544,'Sac Parça Detay'!$A$2:$A$544,A17)</f>
        <v>22.767450341818183</v>
      </c>
      <c r="O17" s="123">
        <f t="shared" si="2"/>
        <v>68.302351025454556</v>
      </c>
      <c r="P17" s="118">
        <v>0</v>
      </c>
      <c r="Q17" s="118"/>
      <c r="R17" s="124" t="str">
        <f>HYPERLINK("Sac_Maliyet\111837_sac_maliyet.html","aç")</f>
        <v>aç</v>
      </c>
      <c r="S17" s="118" t="s">
        <v>85</v>
      </c>
    </row>
    <row r="18" spans="1:19" ht="15" customHeight="1" x14ac:dyDescent="0.25">
      <c r="A18" s="118" t="s">
        <v>543</v>
      </c>
      <c r="B18" s="118" t="s">
        <v>244</v>
      </c>
      <c r="C18" s="118" t="s">
        <v>93</v>
      </c>
      <c r="D18" s="119">
        <v>3</v>
      </c>
      <c r="E18" s="118">
        <f>COUNTIFS('Sac Parça Detay'!$A$2:$A$544,A18)</f>
        <v>3</v>
      </c>
      <c r="F18" s="118">
        <f>SUMIFS('Sac Parça Detay'!$G$2:$G$544,'Sac Parça Detay'!$A$2:$A$544,A18)</f>
        <v>4</v>
      </c>
      <c r="G18" s="120">
        <f>SUMPRODUCT(('Sac Parça Detay'!$A$2:$A$544=A18)*'Sac Parça Detay'!$K$2:$K$544*'Sac Parça Detay'!$G$2:$G$544)</f>
        <v>0.33379400000000004</v>
      </c>
      <c r="H18" s="120">
        <f>SUMPRODUCT(('Sac Parça Detay'!$A$2:$A$544=A18)*'Sac Parça Detay'!$M$2:$M$544*'Sac Parça Detay'!$G$2:$G$544)</f>
        <v>0.34917499999999996</v>
      </c>
      <c r="I18" s="120">
        <f t="shared" si="0"/>
        <v>1.5380999999999923E-2</v>
      </c>
      <c r="J18" s="121">
        <f t="shared" si="1"/>
        <v>4.4049545356912509E-2</v>
      </c>
      <c r="K18" s="122">
        <f>SUMIFS('Sac Parça Detay'!$T$2:$T$544,'Sac Parça Detay'!$A$2:$A$544,A18)</f>
        <v>27.729858099999998</v>
      </c>
      <c r="L18" s="122">
        <f>SUMIFS('Sac Parça Detay'!$V$2:$V$544,'Sac Parça Detay'!$A$2:$A$544,A18)</f>
        <v>28.964537499999999</v>
      </c>
      <c r="M18" s="122">
        <f>SUMIFS('Sac Parça Detay'!$U$2:$U$544,'Sac Parça Detay'!$A$2:$A$544,A18)</f>
        <v>1.234679399999999</v>
      </c>
      <c r="N18" s="123">
        <f>SUMIFS('Sac Parça Detay'!$S$2:$S$544,'Sac Parça Detay'!$A$2:$A$544,A18)</f>
        <v>22.767553105454542</v>
      </c>
      <c r="O18" s="123">
        <f t="shared" si="2"/>
        <v>68.302659316363631</v>
      </c>
      <c r="P18" s="118">
        <v>0</v>
      </c>
      <c r="Q18" s="118"/>
      <c r="R18" s="124" t="str">
        <f>HYPERLINK("Sac_Maliyet\111838_sac_maliyet.html","aç")</f>
        <v>aç</v>
      </c>
      <c r="S18" s="118" t="s">
        <v>85</v>
      </c>
    </row>
    <row r="19" spans="1:19" ht="15" customHeight="1" x14ac:dyDescent="0.25">
      <c r="A19" s="118" t="s">
        <v>527</v>
      </c>
      <c r="B19" s="118" t="s">
        <v>222</v>
      </c>
      <c r="C19" s="118" t="s">
        <v>110</v>
      </c>
      <c r="D19" s="119">
        <v>16</v>
      </c>
      <c r="E19" s="118">
        <f>COUNTIFS('Sac Parça Detay'!$A$2:$A$544,A19)</f>
        <v>4</v>
      </c>
      <c r="F19" s="118">
        <f>SUMIFS('Sac Parça Detay'!$G$2:$G$544,'Sac Parça Detay'!$A$2:$A$544,A19)</f>
        <v>6</v>
      </c>
      <c r="G19" s="120">
        <f>SUMPRODUCT(('Sac Parça Detay'!$A$2:$A$544=A19)*'Sac Parça Detay'!$K$2:$K$544*'Sac Parça Detay'!$G$2:$G$544)</f>
        <v>0.390764</v>
      </c>
      <c r="H19" s="120">
        <f>SUMPRODUCT(('Sac Parça Detay'!$A$2:$A$544=A19)*'Sac Parça Detay'!$M$2:$M$544*'Sac Parça Detay'!$G$2:$G$544)</f>
        <v>0.43457899999999999</v>
      </c>
      <c r="I19" s="120">
        <f t="shared" si="0"/>
        <v>4.3814999999999993E-2</v>
      </c>
      <c r="J19" s="121">
        <f t="shared" si="1"/>
        <v>0.10082171480904506</v>
      </c>
      <c r="K19" s="122">
        <f>SUMIFS('Sac Parça Detay'!$T$2:$T$544,'Sac Parça Detay'!$A$2:$A$544,A19)</f>
        <v>26.1376426</v>
      </c>
      <c r="L19" s="122">
        <f>SUMIFS('Sac Parça Detay'!$V$2:$V$544,'Sac Parça Detay'!$A$2:$A$544,A19)</f>
        <v>29.273544900000001</v>
      </c>
      <c r="M19" s="122">
        <f>SUMIFS('Sac Parça Detay'!$U$2:$U$544,'Sac Parça Detay'!$A$2:$A$544,A19)</f>
        <v>3.1359023000000015</v>
      </c>
      <c r="N19" s="123">
        <f>SUMIFS('Sac Parça Detay'!$S$2:$S$544,'Sac Parça Detay'!$A$2:$A$544,A19)</f>
        <v>22.392540621818181</v>
      </c>
      <c r="O19" s="123">
        <f t="shared" si="2"/>
        <v>358.2806499490909</v>
      </c>
      <c r="P19" s="118">
        <v>0</v>
      </c>
      <c r="Q19" s="118"/>
      <c r="R19" s="124" t="str">
        <f>HYPERLINK("Sac_Maliyet\109921_sac_maliyet.html","aç")</f>
        <v>aç</v>
      </c>
      <c r="S19" s="118" t="s">
        <v>85</v>
      </c>
    </row>
    <row r="20" spans="1:19" ht="15" customHeight="1" x14ac:dyDescent="0.25">
      <c r="A20" s="118" t="s">
        <v>605</v>
      </c>
      <c r="B20" s="118" t="s">
        <v>331</v>
      </c>
      <c r="C20" s="118" t="s">
        <v>84</v>
      </c>
      <c r="D20" s="119">
        <v>10</v>
      </c>
      <c r="E20" s="118">
        <f>COUNTIFS('Sac Parça Detay'!$A$2:$A$544,A20)</f>
        <v>2</v>
      </c>
      <c r="F20" s="118">
        <f>SUMIFS('Sac Parça Detay'!$G$2:$G$544,'Sac Parça Detay'!$A$2:$A$544,A20)</f>
        <v>3</v>
      </c>
      <c r="G20" s="120">
        <f>SUMPRODUCT(('Sac Parça Detay'!$A$2:$A$544=A20)*'Sac Parça Detay'!$K$2:$K$544*'Sac Parça Detay'!$G$2:$G$544)</f>
        <v>0.21682999999999999</v>
      </c>
      <c r="H20" s="120">
        <f>SUMPRODUCT(('Sac Parça Detay'!$A$2:$A$544=A20)*'Sac Parça Detay'!$M$2:$M$544*'Sac Parça Detay'!$G$2:$G$544)</f>
        <v>0.25593100000000002</v>
      </c>
      <c r="I20" s="120">
        <f t="shared" si="0"/>
        <v>3.9101000000000025E-2</v>
      </c>
      <c r="J20" s="121">
        <f t="shared" si="1"/>
        <v>0.15277946008885215</v>
      </c>
      <c r="K20" s="122">
        <f>SUMIFS('Sac Parça Detay'!$T$2:$T$544,'Sac Parça Detay'!$A$2:$A$544,A20)</f>
        <v>23.5657785</v>
      </c>
      <c r="L20" s="122">
        <f>SUMIFS('Sac Parça Detay'!$V$2:$V$544,'Sac Parça Detay'!$A$2:$A$544,A20)</f>
        <v>27.795947249999998</v>
      </c>
      <c r="M20" s="122">
        <f>SUMIFS('Sac Parça Detay'!$U$2:$U$544,'Sac Parça Detay'!$A$2:$A$544,A20)</f>
        <v>4.2301687499999989</v>
      </c>
      <c r="N20" s="123">
        <f>SUMIFS('Sac Parça Detay'!$S$2:$S$544,'Sac Parça Detay'!$A$2:$A$544,A20)</f>
        <v>20.852338936363637</v>
      </c>
      <c r="O20" s="123">
        <f t="shared" si="2"/>
        <v>208.52338936363637</v>
      </c>
      <c r="P20" s="118">
        <v>0</v>
      </c>
      <c r="Q20" s="118"/>
      <c r="R20" s="124" t="str">
        <f>HYPERLINK("Sac_Maliyet\1091735_sac_maliyet.html","aç")</f>
        <v>aç</v>
      </c>
      <c r="S20" s="118" t="s">
        <v>85</v>
      </c>
    </row>
    <row r="21" spans="1:19" ht="15" customHeight="1" x14ac:dyDescent="0.25">
      <c r="A21" s="118" t="s">
        <v>606</v>
      </c>
      <c r="B21" s="118" t="s">
        <v>332</v>
      </c>
      <c r="C21" s="118" t="s">
        <v>251</v>
      </c>
      <c r="D21" s="119">
        <v>10</v>
      </c>
      <c r="E21" s="118">
        <f>COUNTIFS('Sac Parça Detay'!$A$2:$A$544,A21)</f>
        <v>2</v>
      </c>
      <c r="F21" s="118">
        <f>SUMIFS('Sac Parça Detay'!$G$2:$G$544,'Sac Parça Detay'!$A$2:$A$544,A21)</f>
        <v>3</v>
      </c>
      <c r="G21" s="120">
        <f>SUMPRODUCT(('Sac Parça Detay'!$A$2:$A$544=A21)*'Sac Parça Detay'!$K$2:$K$544*'Sac Parça Detay'!$G$2:$G$544)</f>
        <v>0.21193999999999999</v>
      </c>
      <c r="H21" s="120">
        <f>SUMPRODUCT(('Sac Parça Detay'!$A$2:$A$544=A21)*'Sac Parça Detay'!$M$2:$M$544*'Sac Parça Detay'!$G$2:$G$544)</f>
        <v>0.25041099999999999</v>
      </c>
      <c r="I21" s="120">
        <f t="shared" si="0"/>
        <v>3.8471000000000005E-2</v>
      </c>
      <c r="J21" s="121">
        <f t="shared" si="1"/>
        <v>0.15363142992919643</v>
      </c>
      <c r="K21" s="122">
        <f>SUMIFS('Sac Parça Detay'!$T$2:$T$544,'Sac Parça Detay'!$A$2:$A$544,A21)</f>
        <v>23.105140499999997</v>
      </c>
      <c r="L21" s="122">
        <f>SUMIFS('Sac Parça Detay'!$V$2:$V$544,'Sac Parça Detay'!$A$2:$A$544,A21)</f>
        <v>27.275963249999997</v>
      </c>
      <c r="M21" s="122">
        <f>SUMIFS('Sac Parça Detay'!$U$2:$U$544,'Sac Parça Detay'!$A$2:$A$544,A21)</f>
        <v>4.1708227500000001</v>
      </c>
      <c r="N21" s="123">
        <f>SUMIFS('Sac Parça Detay'!$S$2:$S$544,'Sac Parça Detay'!$A$2:$A$544,A21)</f>
        <v>20.455774063636362</v>
      </c>
      <c r="O21" s="123">
        <f t="shared" si="2"/>
        <v>204.55774063636363</v>
      </c>
      <c r="P21" s="118">
        <v>0</v>
      </c>
      <c r="Q21" s="118"/>
      <c r="R21" s="124" t="str">
        <f>HYPERLINK("Sac_Maliyet\181733_sac_maliyet.html","aç")</f>
        <v>aç</v>
      </c>
      <c r="S21" s="118" t="s">
        <v>85</v>
      </c>
    </row>
    <row r="22" spans="1:19" ht="15" customHeight="1" x14ac:dyDescent="0.25">
      <c r="A22" s="118" t="s">
        <v>537</v>
      </c>
      <c r="B22" s="118" t="s">
        <v>234</v>
      </c>
      <c r="C22" s="118" t="s">
        <v>194</v>
      </c>
      <c r="D22" s="119">
        <v>10</v>
      </c>
      <c r="E22" s="118">
        <f>COUNTIFS('Sac Parça Detay'!$A$2:$A$544,A22)</f>
        <v>2</v>
      </c>
      <c r="F22" s="118">
        <f>SUMIFS('Sac Parça Detay'!$G$2:$G$544,'Sac Parça Detay'!$A$2:$A$544,A22)</f>
        <v>3</v>
      </c>
      <c r="G22" s="120">
        <f>SUMPRODUCT(('Sac Parça Detay'!$A$2:$A$544=A22)*'Sac Parça Detay'!$K$2:$K$544*'Sac Parça Detay'!$G$2:$G$544)</f>
        <v>0.19694799999999998</v>
      </c>
      <c r="H22" s="120">
        <f>SUMPRODUCT(('Sac Parça Detay'!$A$2:$A$544=A22)*'Sac Parça Detay'!$M$2:$M$544*'Sac Parça Detay'!$G$2:$G$544)</f>
        <v>0.25722100000000003</v>
      </c>
      <c r="I22" s="120">
        <f t="shared" si="0"/>
        <v>6.0273000000000049E-2</v>
      </c>
      <c r="J22" s="121">
        <f t="shared" si="1"/>
        <v>0.23432379160332958</v>
      </c>
      <c r="K22" s="122">
        <f>SUMIFS('Sac Parça Detay'!$T$2:$T$544,'Sac Parça Detay'!$A$2:$A$544,A22)</f>
        <v>21.650268599999997</v>
      </c>
      <c r="L22" s="122">
        <f>SUMIFS('Sac Parça Detay'!$V$2:$V$544,'Sac Parça Detay'!$A$2:$A$544,A22)</f>
        <v>27.985760249999998</v>
      </c>
      <c r="M22" s="122">
        <f>SUMIFS('Sac Parça Detay'!$U$2:$U$544,'Sac Parça Detay'!$A$2:$A$544,A22)</f>
        <v>6.3354916500000016</v>
      </c>
      <c r="N22" s="123">
        <f>SUMIFS('Sac Parça Detay'!$S$2:$S$544,'Sac Parça Detay'!$A$2:$A$544,A22)</f>
        <v>20.31517456909091</v>
      </c>
      <c r="O22" s="123">
        <f t="shared" si="2"/>
        <v>203.15174569090911</v>
      </c>
      <c r="P22" s="118">
        <v>0</v>
      </c>
      <c r="Q22" s="118"/>
      <c r="R22" s="124" t="str">
        <f>HYPERLINK("Sac_Maliyet\103113_sac_maliyet.html","aç")</f>
        <v>aç</v>
      </c>
      <c r="S22" s="118" t="s">
        <v>85</v>
      </c>
    </row>
    <row r="23" spans="1:19" ht="15" customHeight="1" x14ac:dyDescent="0.25">
      <c r="A23" s="118" t="s">
        <v>595</v>
      </c>
      <c r="B23" s="118" t="s">
        <v>320</v>
      </c>
      <c r="C23" s="118" t="s">
        <v>107</v>
      </c>
      <c r="D23" s="119">
        <v>10</v>
      </c>
      <c r="E23" s="118">
        <f>COUNTIFS('Sac Parça Detay'!$A$2:$A$544,A23)</f>
        <v>4</v>
      </c>
      <c r="F23" s="118">
        <f>SUMIFS('Sac Parça Detay'!$G$2:$G$544,'Sac Parça Detay'!$A$2:$A$544,A23)</f>
        <v>7</v>
      </c>
      <c r="G23" s="120">
        <f>SUMPRODUCT(('Sac Parça Detay'!$A$2:$A$544=A23)*'Sac Parça Detay'!$K$2:$K$544*'Sac Parça Detay'!$G$2:$G$544)</f>
        <v>0.34647700000000003</v>
      </c>
      <c r="H23" s="120">
        <f>SUMPRODUCT(('Sac Parça Detay'!$A$2:$A$544=A23)*'Sac Parça Detay'!$M$2:$M$544*'Sac Parça Detay'!$G$2:$G$544)</f>
        <v>0.38146479999999999</v>
      </c>
      <c r="I23" s="120">
        <f t="shared" si="0"/>
        <v>3.4987799999999958E-2</v>
      </c>
      <c r="J23" s="121">
        <f t="shared" si="1"/>
        <v>9.1719602962055627E-2</v>
      </c>
      <c r="K23" s="122">
        <f>SUMIFS('Sac Parça Detay'!$T$2:$T$544,'Sac Parça Detay'!$A$2:$A$544,A23)</f>
        <v>21.362974300000001</v>
      </c>
      <c r="L23" s="122">
        <f>SUMIFS('Sac Parça Detay'!$V$2:$V$544,'Sac Parça Detay'!$A$2:$A$544,A23)</f>
        <v>23.556958239999997</v>
      </c>
      <c r="M23" s="122">
        <f>SUMIFS('Sac Parça Detay'!$U$2:$U$544,'Sac Parça Detay'!$A$2:$A$544,A23)</f>
        <v>2.1939839399999963</v>
      </c>
      <c r="N23" s="123">
        <f>SUMIFS('Sac Parça Detay'!$S$2:$S$544,'Sac Parça Detay'!$A$2:$A$544,A23)</f>
        <v>18.127535484363634</v>
      </c>
      <c r="O23" s="123">
        <f t="shared" si="2"/>
        <v>181.27535484363634</v>
      </c>
      <c r="P23" s="118">
        <v>0</v>
      </c>
      <c r="Q23" s="118"/>
      <c r="R23" s="124" t="str">
        <f>HYPERLINK("Sac_Maliyet\234404_sac_maliyet.html","aç")</f>
        <v>aç</v>
      </c>
      <c r="S23" s="118" t="s">
        <v>85</v>
      </c>
    </row>
    <row r="24" spans="1:19" ht="15" customHeight="1" x14ac:dyDescent="0.25">
      <c r="A24" s="118" t="s">
        <v>572</v>
      </c>
      <c r="B24" s="118" t="s">
        <v>286</v>
      </c>
      <c r="C24" s="118" t="s">
        <v>119</v>
      </c>
      <c r="D24" s="119">
        <v>1</v>
      </c>
      <c r="E24" s="118">
        <f>COUNTIFS('Sac Parça Detay'!$A$2:$A$544,A24)</f>
        <v>4</v>
      </c>
      <c r="F24" s="118">
        <f>SUMIFS('Sac Parça Detay'!$G$2:$G$544,'Sac Parça Detay'!$A$2:$A$544,A24)</f>
        <v>6</v>
      </c>
      <c r="G24" s="120">
        <f>SUMPRODUCT(('Sac Parça Detay'!$A$2:$A$544=A24)*'Sac Parça Detay'!$K$2:$K$544*'Sac Parça Detay'!$G$2:$G$544)</f>
        <v>0.41763099999999997</v>
      </c>
      <c r="H24" s="120">
        <f>SUMPRODUCT(('Sac Parça Detay'!$A$2:$A$544=A24)*'Sac Parça Detay'!$M$2:$M$544*'Sac Parça Detay'!$G$2:$G$544)</f>
        <v>0.54753600000000002</v>
      </c>
      <c r="I24" s="120">
        <f t="shared" si="0"/>
        <v>0.12990500000000005</v>
      </c>
      <c r="J24" s="121">
        <f t="shared" si="1"/>
        <v>0.23725380614242725</v>
      </c>
      <c r="K24" s="122">
        <f>SUMIFS('Sac Parça Detay'!$T$2:$T$544,'Sac Parça Detay'!$A$2:$A$544,A24)</f>
        <v>19.670420099999998</v>
      </c>
      <c r="L24" s="122">
        <f>SUMIFS('Sac Parça Detay'!$V$2:$V$544,'Sac Parça Detay'!$A$2:$A$544,A24)</f>
        <v>25.788945599999998</v>
      </c>
      <c r="M24" s="122">
        <f>SUMIFS('Sac Parça Detay'!$U$2:$U$544,'Sac Parça Detay'!$A$2:$A$544,A24)</f>
        <v>6.1185254999999987</v>
      </c>
      <c r="N24" s="123">
        <f>SUMIFS('Sac Parça Detay'!$S$2:$S$544,'Sac Parça Detay'!$A$2:$A$544,A24)</f>
        <v>18.628729952727273</v>
      </c>
      <c r="O24" s="123">
        <f t="shared" si="2"/>
        <v>18.628729952727273</v>
      </c>
      <c r="P24" s="118">
        <v>0</v>
      </c>
      <c r="Q24" s="118"/>
      <c r="R24" s="124" t="str">
        <f>HYPERLINK("Sac_Maliyet\435620_sac_maliyet.html","aç")</f>
        <v>aç</v>
      </c>
      <c r="S24" s="118" t="s">
        <v>85</v>
      </c>
    </row>
    <row r="25" spans="1:19" ht="15" customHeight="1" x14ac:dyDescent="0.25">
      <c r="A25" s="118" t="s">
        <v>536</v>
      </c>
      <c r="B25" s="118" t="s">
        <v>233</v>
      </c>
      <c r="C25" s="118" t="s">
        <v>107</v>
      </c>
      <c r="D25" s="119">
        <v>13</v>
      </c>
      <c r="E25" s="118">
        <f>COUNTIFS('Sac Parça Detay'!$A$2:$A$544,A25)</f>
        <v>2</v>
      </c>
      <c r="F25" s="118">
        <f>SUMIFS('Sac Parça Detay'!$G$2:$G$544,'Sac Parça Detay'!$A$2:$A$544,A25)</f>
        <v>2</v>
      </c>
      <c r="G25" s="120">
        <f>SUMPRODUCT(('Sac Parça Detay'!$A$2:$A$544=A25)*'Sac Parça Detay'!$K$2:$K$544*'Sac Parça Detay'!$G$2:$G$544)</f>
        <v>0.20697700000000002</v>
      </c>
      <c r="H25" s="120">
        <f>SUMPRODUCT(('Sac Parça Detay'!$A$2:$A$544=A25)*'Sac Parça Detay'!$M$2:$M$544*'Sac Parça Detay'!$G$2:$G$544)</f>
        <v>0.47633999999999999</v>
      </c>
      <c r="I25" s="120">
        <f t="shared" si="0"/>
        <v>0.26936299999999996</v>
      </c>
      <c r="J25" s="121">
        <f t="shared" si="1"/>
        <v>0.5654847377923331</v>
      </c>
      <c r="K25" s="122">
        <f>SUMIFS('Sac Parça Detay'!$T$2:$T$544,'Sac Parça Detay'!$A$2:$A$544,A25)</f>
        <v>18.923524</v>
      </c>
      <c r="L25" s="122">
        <f>SUMIFS('Sac Parça Detay'!$V$2:$V$544,'Sac Parça Detay'!$A$2:$A$544,A25)</f>
        <v>46.740862499999992</v>
      </c>
      <c r="M25" s="122">
        <f>SUMIFS('Sac Parça Detay'!$U$2:$U$544,'Sac Parça Detay'!$A$2:$A$544,A25)</f>
        <v>27.817338499999998</v>
      </c>
      <c r="N25" s="123">
        <f>SUMIFS('Sac Parça Detay'!$S$2:$S$544,'Sac Parça Detay'!$A$2:$A$544,A25)</f>
        <v>28.288833763636365</v>
      </c>
      <c r="O25" s="123">
        <f t="shared" si="2"/>
        <v>367.75483892727277</v>
      </c>
      <c r="P25" s="118">
        <v>0</v>
      </c>
      <c r="Q25" s="118"/>
      <c r="R25" s="124" t="str">
        <f>HYPERLINK("Sac_Maliyet\1251899_sac_maliyet.html","aç")</f>
        <v>aç</v>
      </c>
      <c r="S25" s="118" t="s">
        <v>85</v>
      </c>
    </row>
    <row r="26" spans="1:19" ht="15" customHeight="1" x14ac:dyDescent="0.25">
      <c r="A26" s="118" t="s">
        <v>477</v>
      </c>
      <c r="B26" s="118" t="s">
        <v>158</v>
      </c>
      <c r="C26" s="118" t="s">
        <v>148</v>
      </c>
      <c r="D26" s="119">
        <v>61</v>
      </c>
      <c r="E26" s="118">
        <f>COUNTIFS('Sac Parça Detay'!$A$2:$A$544,A26)</f>
        <v>4</v>
      </c>
      <c r="F26" s="118">
        <f>SUMIFS('Sac Parça Detay'!$G$2:$G$544,'Sac Parça Detay'!$A$2:$A$544,A26)</f>
        <v>5</v>
      </c>
      <c r="G26" s="120">
        <f>SUMPRODUCT(('Sac Parça Detay'!$A$2:$A$544=A26)*'Sac Parça Detay'!$K$2:$K$544*'Sac Parça Detay'!$G$2:$G$544)</f>
        <v>0.296128</v>
      </c>
      <c r="H26" s="120">
        <f>SUMPRODUCT(('Sac Parça Detay'!$A$2:$A$544=A26)*'Sac Parça Detay'!$M$2:$M$544*'Sac Parça Detay'!$G$2:$G$544)</f>
        <v>0.40829620000000005</v>
      </c>
      <c r="I26" s="120">
        <f t="shared" si="0"/>
        <v>0.11216820000000005</v>
      </c>
      <c r="J26" s="121">
        <f t="shared" si="1"/>
        <v>0.27472261559132816</v>
      </c>
      <c r="K26" s="122">
        <f>SUMIFS('Sac Parça Detay'!$T$2:$T$544,'Sac Parça Detay'!$A$2:$A$544,A26)</f>
        <v>18.786808399999998</v>
      </c>
      <c r="L26" s="122">
        <f>SUMIFS('Sac Parça Detay'!$V$2:$V$544,'Sac Parça Detay'!$A$2:$A$544,A26)</f>
        <v>25.830971360000003</v>
      </c>
      <c r="M26" s="122">
        <f>SUMIFS('Sac Parça Detay'!$U$2:$U$544,'Sac Parça Detay'!$A$2:$A$544,A26)</f>
        <v>7.0441629600000022</v>
      </c>
      <c r="N26" s="123">
        <f>SUMIFS('Sac Parça Detay'!$S$2:$S$544,'Sac Parça Detay'!$A$2:$A$544,A26)</f>
        <v>18.359414664727279</v>
      </c>
      <c r="O26" s="123">
        <f t="shared" si="2"/>
        <v>1119.9242945483641</v>
      </c>
      <c r="P26" s="118">
        <v>0</v>
      </c>
      <c r="Q26" s="118"/>
      <c r="R26" s="124" t="str">
        <f>HYPERLINK("Sac_Maliyet\395388_sac_maliyet.html","aç")</f>
        <v>aç</v>
      </c>
      <c r="S26" s="118" t="s">
        <v>85</v>
      </c>
    </row>
    <row r="27" spans="1:19" ht="15" customHeight="1" x14ac:dyDescent="0.25">
      <c r="A27" s="118" t="s">
        <v>593</v>
      </c>
      <c r="B27" s="118" t="s">
        <v>318</v>
      </c>
      <c r="C27" s="118" t="s">
        <v>84</v>
      </c>
      <c r="D27" s="119">
        <v>16</v>
      </c>
      <c r="E27" s="118">
        <f>COUNTIFS('Sac Parça Detay'!$A$2:$A$544,A27)</f>
        <v>2</v>
      </c>
      <c r="F27" s="118">
        <f>SUMIFS('Sac Parça Detay'!$G$2:$G$544,'Sac Parça Detay'!$A$2:$A$544,A27)</f>
        <v>5</v>
      </c>
      <c r="G27" s="120">
        <f>SUMPRODUCT(('Sac Parça Detay'!$A$2:$A$544=A27)*'Sac Parça Detay'!$K$2:$K$544*'Sac Parça Detay'!$G$2:$G$544)</f>
        <v>0.598665</v>
      </c>
      <c r="H27" s="120">
        <f>SUMPRODUCT(('Sac Parça Detay'!$A$2:$A$544=A27)*'Sac Parça Detay'!$M$2:$M$544*'Sac Parça Detay'!$G$2:$G$544)</f>
        <v>1.4632579900000002</v>
      </c>
      <c r="I27" s="120">
        <f t="shared" si="0"/>
        <v>0.86459299000000023</v>
      </c>
      <c r="J27" s="121">
        <f t="shared" si="1"/>
        <v>0.5908684564913943</v>
      </c>
      <c r="K27" s="122">
        <f>SUMIFS('Sac Parça Detay'!$T$2:$T$544,'Sac Parça Detay'!$A$2:$A$544,A27)</f>
        <v>18.798081</v>
      </c>
      <c r="L27" s="122">
        <f>SUMIFS('Sac Parça Detay'!$V$2:$V$544,'Sac Parça Detay'!$A$2:$A$544,A27)</f>
        <v>45.946300886000003</v>
      </c>
      <c r="M27" s="122">
        <f>SUMIFS('Sac Parça Detay'!$U$2:$U$544,'Sac Parça Detay'!$A$2:$A$544,A27)</f>
        <v>27.148219886000007</v>
      </c>
      <c r="N27" s="123">
        <f>SUMIFS('Sac Parça Detay'!$S$2:$S$544,'Sac Parça Detay'!$A$2:$A$544,A27)</f>
        <v>27.872168746109097</v>
      </c>
      <c r="O27" s="123">
        <f t="shared" si="2"/>
        <v>445.95469993774554</v>
      </c>
      <c r="P27" s="118">
        <v>0</v>
      </c>
      <c r="Q27" s="118" t="s">
        <v>1508</v>
      </c>
      <c r="R27" s="124" t="str">
        <f>HYPERLINK("Sac_Maliyet\722932_sac_maliyet.html","aç")</f>
        <v>aç</v>
      </c>
      <c r="S27" s="118" t="s">
        <v>85</v>
      </c>
    </row>
    <row r="28" spans="1:19" ht="15" customHeight="1" x14ac:dyDescent="0.25">
      <c r="A28" s="118" t="s">
        <v>453</v>
      </c>
      <c r="B28" s="118" t="s">
        <v>115</v>
      </c>
      <c r="C28" s="118" t="s">
        <v>105</v>
      </c>
      <c r="D28" s="119">
        <v>106</v>
      </c>
      <c r="E28" s="118">
        <f>COUNTIFS('Sac Parça Detay'!$A$2:$A$544,A28)</f>
        <v>5</v>
      </c>
      <c r="F28" s="118">
        <f>SUMIFS('Sac Parça Detay'!$G$2:$G$544,'Sac Parça Detay'!$A$2:$A$544,A28)</f>
        <v>6</v>
      </c>
      <c r="G28" s="120">
        <f>SUMPRODUCT(('Sac Parça Detay'!$A$2:$A$544=A28)*'Sac Parça Detay'!$K$2:$K$544*'Sac Parça Detay'!$G$2:$G$544)</f>
        <v>0.68067100000000003</v>
      </c>
      <c r="H28" s="120">
        <f>SUMPRODUCT(('Sac Parça Detay'!$A$2:$A$544=A28)*'Sac Parça Detay'!$M$2:$M$544*'Sac Parça Detay'!$G$2:$G$544)</f>
        <v>1.1748756</v>
      </c>
      <c r="I28" s="120">
        <f t="shared" si="0"/>
        <v>0.49420459999999999</v>
      </c>
      <c r="J28" s="121">
        <f t="shared" si="1"/>
        <v>0.42064419415979021</v>
      </c>
      <c r="K28" s="122">
        <f>SUMIFS('Sac Parça Detay'!$T$2:$T$544,'Sac Parça Detay'!$A$2:$A$544,A28)</f>
        <v>18.636221849999998</v>
      </c>
      <c r="L28" s="122">
        <f>SUMIFS('Sac Parça Detay'!$V$2:$V$544,'Sac Parça Detay'!$A$2:$A$544,A28)</f>
        <v>30.788224379999996</v>
      </c>
      <c r="M28" s="122">
        <f>SUMIFS('Sac Parça Detay'!$U$2:$U$544,'Sac Parça Detay'!$A$2:$A$544,A28)</f>
        <v>12.152002529999997</v>
      </c>
      <c r="N28" s="123">
        <f>SUMIFS('Sac Parça Detay'!$S$2:$S$544,'Sac Parça Detay'!$A$2:$A$544,A28)</f>
        <v>20.653560494181818</v>
      </c>
      <c r="O28" s="123">
        <f t="shared" si="2"/>
        <v>2189.2774123832728</v>
      </c>
      <c r="P28" s="118">
        <v>0</v>
      </c>
      <c r="Q28" s="118"/>
      <c r="R28" s="124" t="str">
        <f>HYPERLINK("Sac_Maliyet\384255_sac_maliyet.html","aç")</f>
        <v>aç</v>
      </c>
      <c r="S28" s="118" t="s">
        <v>85</v>
      </c>
    </row>
    <row r="29" spans="1:19" ht="15" customHeight="1" x14ac:dyDescent="0.25">
      <c r="A29" s="118" t="s">
        <v>496</v>
      </c>
      <c r="B29" s="118" t="s">
        <v>185</v>
      </c>
      <c r="C29" s="118" t="s">
        <v>148</v>
      </c>
      <c r="D29" s="119">
        <v>27</v>
      </c>
      <c r="E29" s="118">
        <f>COUNTIFS('Sac Parça Detay'!$A$2:$A$544,A29)</f>
        <v>4</v>
      </c>
      <c r="F29" s="118">
        <f>SUMIFS('Sac Parça Detay'!$G$2:$G$544,'Sac Parça Detay'!$A$2:$A$544,A29)</f>
        <v>5</v>
      </c>
      <c r="G29" s="120">
        <f>SUMPRODUCT(('Sac Parça Detay'!$A$2:$A$544=A29)*'Sac Parça Detay'!$K$2:$K$544*'Sac Parça Detay'!$G$2:$G$544)</f>
        <v>0.28816000000000003</v>
      </c>
      <c r="H29" s="120">
        <f>SUMPRODUCT(('Sac Parça Detay'!$A$2:$A$544=A29)*'Sac Parça Detay'!$M$2:$M$544*'Sac Parça Detay'!$G$2:$G$544)</f>
        <v>0.40006220000000003</v>
      </c>
      <c r="I29" s="120">
        <f t="shared" si="0"/>
        <v>0.11190220000000001</v>
      </c>
      <c r="J29" s="121">
        <f t="shared" si="1"/>
        <v>0.2797120047832562</v>
      </c>
      <c r="K29" s="122">
        <f>SUMIFS('Sac Parça Detay'!$T$2:$T$544,'Sac Parça Detay'!$A$2:$A$544,A29)</f>
        <v>18.286418000000001</v>
      </c>
      <c r="L29" s="122">
        <f>SUMIFS('Sac Parça Detay'!$V$2:$V$544,'Sac Parça Detay'!$A$2:$A$544,A29)</f>
        <v>25.313876160000003</v>
      </c>
      <c r="M29" s="122">
        <f>SUMIFS('Sac Parça Detay'!$U$2:$U$544,'Sac Parça Detay'!$A$2:$A$544,A29)</f>
        <v>7.0274581599999992</v>
      </c>
      <c r="N29" s="123">
        <f>SUMIFS('Sac Parça Detay'!$S$2:$S$544,'Sac Parça Detay'!$A$2:$A$544,A29)</f>
        <v>17.95120553018182</v>
      </c>
      <c r="O29" s="123">
        <f t="shared" si="2"/>
        <v>484.68254931490912</v>
      </c>
      <c r="P29" s="118">
        <v>0</v>
      </c>
      <c r="Q29" s="118"/>
      <c r="R29" s="124" t="str">
        <f>HYPERLINK("Sac_Maliyet\450299_sac_maliyet.html","aç")</f>
        <v>aç</v>
      </c>
      <c r="S29" s="118" t="s">
        <v>85</v>
      </c>
    </row>
    <row r="30" spans="1:19" ht="15" customHeight="1" x14ac:dyDescent="0.25">
      <c r="A30" s="118" t="s">
        <v>445</v>
      </c>
      <c r="B30" s="118" t="s">
        <v>104</v>
      </c>
      <c r="C30" s="118" t="s">
        <v>105</v>
      </c>
      <c r="D30" s="119">
        <v>124</v>
      </c>
      <c r="E30" s="118">
        <f>COUNTIFS('Sac Parça Detay'!$A$2:$A$544,A30)</f>
        <v>5</v>
      </c>
      <c r="F30" s="118">
        <f>SUMIFS('Sac Parça Detay'!$G$2:$G$544,'Sac Parça Detay'!$A$2:$A$544,A30)</f>
        <v>6</v>
      </c>
      <c r="G30" s="120">
        <f>SUMPRODUCT(('Sac Parça Detay'!$A$2:$A$544=A30)*'Sac Parça Detay'!$K$2:$K$544*'Sac Parça Detay'!$G$2:$G$544)</f>
        <v>0.6576169999999999</v>
      </c>
      <c r="H30" s="120">
        <f>SUMPRODUCT(('Sac Parça Detay'!$A$2:$A$544=A30)*'Sac Parça Detay'!$M$2:$M$544*'Sac Parça Detay'!$G$2:$G$544)</f>
        <v>1.1489296000000002</v>
      </c>
      <c r="I30" s="120">
        <f t="shared" si="0"/>
        <v>0.49131260000000032</v>
      </c>
      <c r="J30" s="121">
        <f t="shared" si="1"/>
        <v>0.42762637501897438</v>
      </c>
      <c r="K30" s="122">
        <f>SUMIFS('Sac Parça Detay'!$T$2:$T$544,'Sac Parça Detay'!$A$2:$A$544,A30)</f>
        <v>17.862274649999996</v>
      </c>
      <c r="L30" s="122">
        <f>SUMIFS('Sac Parça Detay'!$V$2:$V$544,'Sac Parça Detay'!$A$2:$A$544,A30)</f>
        <v>29.94609208</v>
      </c>
      <c r="M30" s="122">
        <f>SUMIFS('Sac Parça Detay'!$U$2:$U$544,'Sac Parça Detay'!$A$2:$A$544,A30)</f>
        <v>12.083817429999998</v>
      </c>
      <c r="N30" s="123">
        <f>SUMIFS('Sac Parça Detay'!$S$2:$S$544,'Sac Parça Detay'!$A$2:$A$544,A30)</f>
        <v>20.002169777818182</v>
      </c>
      <c r="O30" s="123">
        <f t="shared" si="2"/>
        <v>2480.2690524494546</v>
      </c>
      <c r="P30" s="118">
        <v>0</v>
      </c>
      <c r="Q30" s="118"/>
      <c r="R30" s="124" t="str">
        <f>HYPERLINK("Sac_Maliyet\475599_sac_maliyet.html","aç")</f>
        <v>aç</v>
      </c>
      <c r="S30" s="118" t="s">
        <v>85</v>
      </c>
    </row>
    <row r="31" spans="1:19" ht="15" customHeight="1" x14ac:dyDescent="0.25">
      <c r="A31" s="118" t="s">
        <v>625</v>
      </c>
      <c r="B31" s="118" t="s">
        <v>359</v>
      </c>
      <c r="C31" s="118" t="s">
        <v>107</v>
      </c>
      <c r="D31" s="119">
        <v>5</v>
      </c>
      <c r="E31" s="118">
        <f>COUNTIFS('Sac Parça Detay'!$A$2:$A$544,A31)</f>
        <v>1</v>
      </c>
      <c r="F31" s="118">
        <f>SUMIFS('Sac Parça Detay'!$G$2:$G$544,'Sac Parça Detay'!$A$2:$A$544,A31)</f>
        <v>1</v>
      </c>
      <c r="G31" s="120">
        <f>SUMPRODUCT(('Sac Parça Detay'!$A$2:$A$544=A31)*'Sac Parça Detay'!$K$2:$K$544*'Sac Parça Detay'!$G$2:$G$544)</f>
        <v>0.118008</v>
      </c>
      <c r="H31" s="120">
        <f>SUMPRODUCT(('Sac Parça Detay'!$A$2:$A$544=A31)*'Sac Parça Detay'!$M$2:$M$544*'Sac Parça Detay'!$G$2:$G$544)</f>
        <v>0.19090440000000003</v>
      </c>
      <c r="I31" s="120">
        <f t="shared" si="0"/>
        <v>7.2896400000000028E-2</v>
      </c>
      <c r="J31" s="121">
        <f t="shared" si="1"/>
        <v>0.38184766825699157</v>
      </c>
      <c r="K31" s="122">
        <f>SUMIFS('Sac Parça Detay'!$T$2:$T$544,'Sac Parça Detay'!$A$2:$A$544,A31)</f>
        <v>13.895441999999999</v>
      </c>
      <c r="L31" s="122">
        <f>SUMIFS('Sac Parça Detay'!$V$2:$V$544,'Sac Parça Detay'!$A$2:$A$544,A31)</f>
        <v>22.478993100000004</v>
      </c>
      <c r="M31" s="122">
        <f>SUMIFS('Sac Parça Detay'!$U$2:$U$544,'Sac Parça Detay'!$A$2:$A$544,A31)</f>
        <v>8.5835511000000029</v>
      </c>
      <c r="N31" s="123">
        <f>SUMIFS('Sac Parça Detay'!$S$2:$S$544,'Sac Parça Detay'!$A$2:$A$544,A31)</f>
        <v>15.174032301818183</v>
      </c>
      <c r="O31" s="123">
        <f t="shared" si="2"/>
        <v>75.87016150909092</v>
      </c>
      <c r="P31" s="118">
        <v>4</v>
      </c>
      <c r="Q31" s="118" t="s">
        <v>1509</v>
      </c>
      <c r="R31" s="124" t="str">
        <f>HYPERLINK("Sac_Maliyet\667583_sac_maliyet.html","aç")</f>
        <v>aç</v>
      </c>
      <c r="S31" s="118" t="s">
        <v>85</v>
      </c>
    </row>
    <row r="32" spans="1:19" ht="15" customHeight="1" x14ac:dyDescent="0.25">
      <c r="A32" s="118" t="s">
        <v>481</v>
      </c>
      <c r="B32" s="118" t="s">
        <v>162</v>
      </c>
      <c r="C32" s="118" t="s">
        <v>148</v>
      </c>
      <c r="D32" s="119">
        <v>29</v>
      </c>
      <c r="E32" s="118">
        <f>COUNTIFS('Sac Parça Detay'!$A$2:$A$544,A32)</f>
        <v>5</v>
      </c>
      <c r="F32" s="118">
        <f>SUMIFS('Sac Parça Detay'!$G$2:$G$544,'Sac Parça Detay'!$A$2:$A$544,A32)</f>
        <v>5</v>
      </c>
      <c r="G32" s="120">
        <f>SUMPRODUCT(('Sac Parça Detay'!$A$2:$A$544=A32)*'Sac Parça Detay'!$K$2:$K$544*'Sac Parça Detay'!$G$2:$G$544)</f>
        <v>0.46461999999999998</v>
      </c>
      <c r="H32" s="120">
        <f>SUMPRODUCT(('Sac Parça Detay'!$A$2:$A$544=A32)*'Sac Parça Detay'!$M$2:$M$544*'Sac Parça Detay'!$G$2:$G$544)</f>
        <v>0.58912299999999984</v>
      </c>
      <c r="I32" s="120">
        <f t="shared" si="0"/>
        <v>0.12450299999999986</v>
      </c>
      <c r="J32" s="121">
        <f t="shared" si="1"/>
        <v>0.21133617258195639</v>
      </c>
      <c r="K32" s="122">
        <f>SUMIFS('Sac Parça Detay'!$T$2:$T$544,'Sac Parça Detay'!$A$2:$A$544,A32)</f>
        <v>17.225718149999999</v>
      </c>
      <c r="L32" s="122">
        <f>SUMIFS('Sac Parça Detay'!$V$2:$V$544,'Sac Parça Detay'!$A$2:$A$544,A32)</f>
        <v>22.108857749999999</v>
      </c>
      <c r="M32" s="122">
        <f>SUMIFS('Sac Parça Detay'!$U$2:$U$544,'Sac Parça Detay'!$A$2:$A$544,A32)</f>
        <v>4.883139599999998</v>
      </c>
      <c r="N32" s="123">
        <f>SUMIFS('Sac Parça Detay'!$S$2:$S$544,'Sac Parça Detay'!$A$2:$A$544,A32)</f>
        <v>16.088967785454546</v>
      </c>
      <c r="O32" s="123">
        <f t="shared" si="2"/>
        <v>466.58006577818185</v>
      </c>
      <c r="P32" s="118">
        <v>0</v>
      </c>
      <c r="Q32" s="118"/>
      <c r="R32" s="124" t="str">
        <f>HYPERLINK("Sac_Maliyet\383453_sac_maliyet.html","aç")</f>
        <v>aç</v>
      </c>
      <c r="S32" s="118" t="s">
        <v>85</v>
      </c>
    </row>
    <row r="33" spans="1:22" ht="15" customHeight="1" x14ac:dyDescent="0.25">
      <c r="A33" s="118" t="s">
        <v>548</v>
      </c>
      <c r="B33" s="118" t="s">
        <v>250</v>
      </c>
      <c r="C33" s="118" t="s">
        <v>251</v>
      </c>
      <c r="D33" s="119">
        <v>5</v>
      </c>
      <c r="E33" s="118">
        <f>COUNTIFS('Sac Parça Detay'!$A$2:$A$544,A33)</f>
        <v>1</v>
      </c>
      <c r="F33" s="118">
        <f>SUMIFS('Sac Parça Detay'!$G$2:$G$544,'Sac Parça Detay'!$A$2:$A$544,A33)</f>
        <v>1</v>
      </c>
      <c r="G33" s="120">
        <f>SUMPRODUCT(('Sac Parça Detay'!$A$2:$A$544=A33)*'Sac Parça Detay'!$K$2:$K$544*'Sac Parça Detay'!$G$2:$G$544)</f>
        <v>9.2082999999999998E-2</v>
      </c>
      <c r="H33" s="120">
        <f>SUMPRODUCT(('Sac Parça Detay'!$A$2:$A$544=A33)*'Sac Parça Detay'!$M$2:$M$544*'Sac Parça Detay'!$G$2:$G$544)</f>
        <v>0.17238000000000001</v>
      </c>
      <c r="I33" s="120">
        <f t="shared" si="0"/>
        <v>8.0297000000000007E-2</v>
      </c>
      <c r="J33" s="121">
        <f t="shared" si="1"/>
        <v>0.4658138995243068</v>
      </c>
      <c r="K33" s="122">
        <f>SUMIFS('Sac Parça Detay'!$T$2:$T$544,'Sac Parça Detay'!$A$2:$A$544,A33)</f>
        <v>10.84277325</v>
      </c>
      <c r="L33" s="122">
        <f>SUMIFS('Sac Parça Detay'!$V$2:$V$544,'Sac Parça Detay'!$A$2:$A$544,A33)</f>
        <v>20.297744999999999</v>
      </c>
      <c r="M33" s="122">
        <f>SUMIFS('Sac Parça Detay'!$U$2:$U$544,'Sac Parça Detay'!$A$2:$A$544,A33)</f>
        <v>9.4549717500000003</v>
      </c>
      <c r="N33" s="123">
        <f>SUMIFS('Sac Parça Detay'!$S$2:$S$544,'Sac Parça Detay'!$A$2:$A$544,A33)</f>
        <v>13.143841609090911</v>
      </c>
      <c r="O33" s="123">
        <f t="shared" si="2"/>
        <v>65.71920804545455</v>
      </c>
      <c r="P33" s="118">
        <v>4</v>
      </c>
      <c r="Q33" s="118" t="s">
        <v>1510</v>
      </c>
      <c r="R33" s="124" t="str">
        <f>HYPERLINK("Sac_Maliyet\1055920_sac_maliyet.html","aç")</f>
        <v>aç</v>
      </c>
      <c r="S33" s="118" t="s">
        <v>85</v>
      </c>
    </row>
    <row r="34" spans="1:22" ht="15" customHeight="1" x14ac:dyDescent="0.25">
      <c r="A34" s="118" t="s">
        <v>561</v>
      </c>
      <c r="B34" s="118" t="s">
        <v>270</v>
      </c>
      <c r="C34" s="118" t="s">
        <v>117</v>
      </c>
      <c r="D34" s="119">
        <v>56</v>
      </c>
      <c r="E34" s="118">
        <f>COUNTIFS('Sac Parça Detay'!$A$2:$A$544,A34)</f>
        <v>1</v>
      </c>
      <c r="F34" s="118">
        <f>SUMIFS('Sac Parça Detay'!$G$2:$G$544,'Sac Parça Detay'!$A$2:$A$544,A34)</f>
        <v>1</v>
      </c>
      <c r="G34" s="120">
        <f>SUMPRODUCT(('Sac Parça Detay'!$A$2:$A$544=A34)*'Sac Parça Detay'!$K$2:$K$544*'Sac Parça Detay'!$G$2:$G$544)</f>
        <v>8.6017999999999997E-2</v>
      </c>
      <c r="H34" s="120">
        <f>SUMPRODUCT(('Sac Parça Detay'!$A$2:$A$544=A34)*'Sac Parça Detay'!$M$2:$M$544*'Sac Parça Detay'!$G$2:$G$544)</f>
        <v>0.15148</v>
      </c>
      <c r="I34" s="120">
        <f t="shared" si="0"/>
        <v>6.5462000000000006E-2</v>
      </c>
      <c r="J34" s="121">
        <f t="shared" si="1"/>
        <v>0.43214945867441251</v>
      </c>
      <c r="K34" s="122">
        <f>SUMIFS('Sac Parça Detay'!$T$2:$T$544,'Sac Parça Detay'!$A$2:$A$544,A34)</f>
        <v>10.128619499999999</v>
      </c>
      <c r="L34" s="122">
        <f>SUMIFS('Sac Parça Detay'!$V$2:$V$544,'Sac Parça Detay'!$A$2:$A$544,A34)</f>
        <v>17.836770000000001</v>
      </c>
      <c r="M34" s="122">
        <f>SUMIFS('Sac Parça Detay'!$U$2:$U$544,'Sac Parça Detay'!$A$2:$A$544,A34)</f>
        <v>7.7081505000000003</v>
      </c>
      <c r="N34" s="123">
        <f>SUMIFS('Sac Parça Detay'!$S$2:$S$544,'Sac Parça Detay'!$A$2:$A$544,A34)</f>
        <v>11.746748563636364</v>
      </c>
      <c r="O34" s="123">
        <f t="shared" si="2"/>
        <v>657.81791956363645</v>
      </c>
      <c r="P34" s="118">
        <v>4</v>
      </c>
      <c r="Q34" s="118" t="s">
        <v>1509</v>
      </c>
      <c r="R34" s="124" t="str">
        <f>HYPERLINK("Sac_Maliyet\672365_sac_maliyet.html","aç")</f>
        <v>aç</v>
      </c>
      <c r="S34" s="118" t="s">
        <v>85</v>
      </c>
    </row>
    <row r="35" spans="1:22" ht="15" customHeight="1" x14ac:dyDescent="0.25">
      <c r="A35" s="118" t="s">
        <v>580</v>
      </c>
      <c r="B35" s="118" t="s">
        <v>299</v>
      </c>
      <c r="C35" s="118" t="s">
        <v>110</v>
      </c>
      <c r="D35" s="119">
        <v>1</v>
      </c>
      <c r="E35" s="118">
        <f>COUNTIFS('Sac Parça Detay'!$A$2:$A$544,A35)</f>
        <v>4</v>
      </c>
      <c r="F35" s="118">
        <f>SUMIFS('Sac Parça Detay'!$G$2:$G$544,'Sac Parça Detay'!$A$2:$A$544,A35)</f>
        <v>5</v>
      </c>
      <c r="G35" s="120">
        <f>SUMPRODUCT(('Sac Parça Detay'!$A$2:$A$544=A35)*'Sac Parça Detay'!$K$2:$K$544*'Sac Parça Detay'!$G$2:$G$544)</f>
        <v>0.22813900000000004</v>
      </c>
      <c r="H35" s="120">
        <f>SUMPRODUCT(('Sac Parça Detay'!$A$2:$A$544=A35)*'Sac Parça Detay'!$M$2:$M$544*'Sac Parça Detay'!$G$2:$G$544)</f>
        <v>0.23295199999999996</v>
      </c>
      <c r="I35" s="120">
        <f t="shared" si="0"/>
        <v>4.8129999999999284E-3</v>
      </c>
      <c r="J35" s="121">
        <f t="shared" si="1"/>
        <v>2.0660908685050692E-2</v>
      </c>
      <c r="K35" s="122">
        <f>SUMIFS('Sac Parça Detay'!$T$2:$T$544,'Sac Parça Detay'!$A$2:$A$544,A35)</f>
        <v>10.745346900000001</v>
      </c>
      <c r="L35" s="122">
        <f>SUMIFS('Sac Parça Detay'!$V$2:$V$544,'Sac Parça Detay'!$A$2:$A$544,A35)</f>
        <v>10.972039199999999</v>
      </c>
      <c r="M35" s="122">
        <f>SUMIFS('Sac Parça Detay'!$U$2:$U$544,'Sac Parça Detay'!$A$2:$A$544,A35)</f>
        <v>0.22669229999999857</v>
      </c>
      <c r="N35" s="123">
        <f>SUMIFS('Sac Parça Detay'!$S$2:$S$544,'Sac Parça Detay'!$A$2:$A$544,A35)</f>
        <v>8.7034411527272706</v>
      </c>
      <c r="O35" s="123">
        <f t="shared" si="2"/>
        <v>8.7034411527272706</v>
      </c>
      <c r="P35" s="118">
        <v>1</v>
      </c>
      <c r="Q35" s="118" t="s">
        <v>1511</v>
      </c>
      <c r="R35" s="124" t="str">
        <f>HYPERLINK("Sac_Maliyet\238323_sac_maliyet.html","aç")</f>
        <v>aç</v>
      </c>
      <c r="S35" s="118" t="s">
        <v>85</v>
      </c>
    </row>
    <row r="36" spans="1:22" ht="15" customHeight="1" x14ac:dyDescent="0.25">
      <c r="A36" s="118" t="s">
        <v>626</v>
      </c>
      <c r="B36" s="118" t="s">
        <v>360</v>
      </c>
      <c r="C36" s="118" t="s">
        <v>139</v>
      </c>
      <c r="D36" s="119">
        <v>5</v>
      </c>
      <c r="E36" s="118">
        <f>COUNTIFS('Sac Parça Detay'!$A$2:$A$544,A36)</f>
        <v>1</v>
      </c>
      <c r="F36" s="118">
        <f>SUMIFS('Sac Parça Detay'!$G$2:$G$544,'Sac Parça Detay'!$A$2:$A$544,A36)</f>
        <v>1</v>
      </c>
      <c r="G36" s="120">
        <f>SUMPRODUCT(('Sac Parça Detay'!$A$2:$A$544=A36)*'Sac Parça Detay'!$K$2:$K$544*'Sac Parça Detay'!$G$2:$G$544)</f>
        <v>8.8354000000000002E-2</v>
      </c>
      <c r="H36" s="120">
        <f>SUMPRODUCT(('Sac Parça Detay'!$A$2:$A$544=A36)*'Sac Parça Detay'!$M$2:$M$544*'Sac Parça Detay'!$G$2:$G$544)</f>
        <v>0.16239999999999999</v>
      </c>
      <c r="I36" s="120">
        <f t="shared" si="0"/>
        <v>7.4045999999999987E-2</v>
      </c>
      <c r="J36" s="121">
        <f t="shared" si="1"/>
        <v>0.45594827586206893</v>
      </c>
      <c r="K36" s="122">
        <f>SUMIFS('Sac Parça Detay'!$T$2:$T$544,'Sac Parça Detay'!$A$2:$A$544,A36)</f>
        <v>10.4036835</v>
      </c>
      <c r="L36" s="122">
        <f>SUMIFS('Sac Parça Detay'!$V$2:$V$544,'Sac Parça Detay'!$A$2:$A$544,A36)</f>
        <v>19.122599999999998</v>
      </c>
      <c r="M36" s="122">
        <f>SUMIFS('Sac Parça Detay'!$U$2:$U$544,'Sac Parça Detay'!$A$2:$A$544,A36)</f>
        <v>8.7189164999999971</v>
      </c>
      <c r="N36" s="123">
        <f>SUMIFS('Sac Parça Detay'!$S$2:$S$544,'Sac Parça Detay'!$A$2:$A$544,A36)</f>
        <v>12.444616418181818</v>
      </c>
      <c r="O36" s="123">
        <f t="shared" si="2"/>
        <v>62.223082090909088</v>
      </c>
      <c r="P36" s="118">
        <v>4</v>
      </c>
      <c r="Q36" s="118" t="s">
        <v>1509</v>
      </c>
      <c r="R36" s="124" t="str">
        <f>HYPERLINK("Sac_Maliyet\554887_sac_maliyet.html","aç")</f>
        <v>aç</v>
      </c>
      <c r="S36" s="118" t="s">
        <v>85</v>
      </c>
    </row>
    <row r="37" spans="1:22" ht="15" customHeight="1" x14ac:dyDescent="0.25">
      <c r="A37" s="118" t="s">
        <v>627</v>
      </c>
      <c r="B37" s="118" t="s">
        <v>361</v>
      </c>
      <c r="C37" s="118" t="s">
        <v>99</v>
      </c>
      <c r="D37" s="119">
        <v>5</v>
      </c>
      <c r="E37" s="118">
        <f>COUNTIFS('Sac Parça Detay'!$A$2:$A$544,A37)</f>
        <v>1</v>
      </c>
      <c r="F37" s="118">
        <f>SUMIFS('Sac Parça Detay'!$G$2:$G$544,'Sac Parça Detay'!$A$2:$A$544,A37)</f>
        <v>1</v>
      </c>
      <c r="G37" s="120">
        <f>SUMPRODUCT(('Sac Parça Detay'!$A$2:$A$544=A37)*'Sac Parça Detay'!$K$2:$K$544*'Sac Parça Detay'!$G$2:$G$544)</f>
        <v>7.5509000000000007E-2</v>
      </c>
      <c r="H37" s="120">
        <f>SUMPRODUCT(('Sac Parça Detay'!$A$2:$A$544=A37)*'Sac Parça Detay'!$M$2:$M$544*'Sac Parça Detay'!$G$2:$G$544)</f>
        <v>0.15540000000000001</v>
      </c>
      <c r="I37" s="120">
        <f t="shared" ref="I37:I68" si="3">H37-G37</f>
        <v>7.9891000000000004E-2</v>
      </c>
      <c r="J37" s="121">
        <f t="shared" ref="J37:J68" si="4">IF(H37=0,0,I37/H37)</f>
        <v>0.51409909909909912</v>
      </c>
      <c r="K37" s="122">
        <f>SUMIFS('Sac Parça Detay'!$T$2:$T$544,'Sac Parça Detay'!$A$2:$A$544,A37)</f>
        <v>8.8911847500000007</v>
      </c>
      <c r="L37" s="122">
        <f>SUMIFS('Sac Parça Detay'!$V$2:$V$544,'Sac Parça Detay'!$A$2:$A$544,A37)</f>
        <v>18.298349999999999</v>
      </c>
      <c r="M37" s="122">
        <f>SUMIFS('Sac Parça Detay'!$U$2:$U$544,'Sac Parça Detay'!$A$2:$A$544,A37)</f>
        <v>9.4071652500000003</v>
      </c>
      <c r="N37" s="123">
        <f>SUMIFS('Sac Parça Detay'!$S$2:$S$544,'Sac Parça Detay'!$A$2:$A$544,A37)</f>
        <v>11.559971372727272</v>
      </c>
      <c r="O37" s="123">
        <f t="shared" ref="O37:O68" si="5">N37*D37</f>
        <v>57.799856863636364</v>
      </c>
      <c r="P37" s="118">
        <v>4</v>
      </c>
      <c r="Q37" s="118" t="s">
        <v>1509</v>
      </c>
      <c r="R37" s="124" t="str">
        <f>HYPERLINK("Sac_Maliyet\602345_sac_maliyet.html","aç")</f>
        <v>aç</v>
      </c>
      <c r="S37" s="118" t="s">
        <v>85</v>
      </c>
    </row>
    <row r="38" spans="1:22" ht="15" customHeight="1" x14ac:dyDescent="0.25">
      <c r="A38" s="118" t="s">
        <v>451</v>
      </c>
      <c r="B38" s="118" t="s">
        <v>112</v>
      </c>
      <c r="C38" s="118" t="s">
        <v>113</v>
      </c>
      <c r="D38" s="119">
        <v>78</v>
      </c>
      <c r="E38" s="118">
        <f>COUNTIFS('Sac Parça Detay'!$A$2:$A$544,A38)</f>
        <v>7</v>
      </c>
      <c r="F38" s="118">
        <f>SUMIFS('Sac Parça Detay'!$G$2:$G$544,'Sac Parça Detay'!$A$2:$A$544,A38)</f>
        <v>8</v>
      </c>
      <c r="G38" s="120">
        <f>SUMPRODUCT(('Sac Parça Detay'!$A$2:$A$544=A38)*'Sac Parça Detay'!$K$2:$K$544*'Sac Parça Detay'!$G$2:$G$544)</f>
        <v>0.26487199999999994</v>
      </c>
      <c r="H38" s="120">
        <f>SUMPRODUCT(('Sac Parça Detay'!$A$2:$A$544=A38)*'Sac Parça Detay'!$M$2:$M$544*'Sac Parça Detay'!$G$2:$G$544)</f>
        <v>0.40281106</v>
      </c>
      <c r="I38" s="120">
        <f t="shared" si="3"/>
        <v>0.13793906000000006</v>
      </c>
      <c r="J38" s="121">
        <f t="shared" si="4"/>
        <v>0.34244109384682747</v>
      </c>
      <c r="K38" s="122">
        <f>SUMIFS('Sac Parça Detay'!$T$2:$T$544,'Sac Parça Detay'!$A$2:$A$544,A38)</f>
        <v>13.030450499999997</v>
      </c>
      <c r="L38" s="122">
        <f>SUMIFS('Sac Parça Detay'!$V$2:$V$544,'Sac Parça Detay'!$A$2:$A$544,A38)</f>
        <v>19.576850925999995</v>
      </c>
      <c r="M38" s="122">
        <f>SUMIFS('Sac Parça Detay'!$U$2:$U$544,'Sac Parça Detay'!$A$2:$A$544,A38)</f>
        <v>6.5464004259999999</v>
      </c>
      <c r="N38" s="123">
        <f>SUMIFS('Sac Parça Detay'!$S$2:$S$544,'Sac Parça Detay'!$A$2:$A$544,A38)</f>
        <v>13.519022419563635</v>
      </c>
      <c r="O38" s="123">
        <f t="shared" si="5"/>
        <v>1054.4837487259636</v>
      </c>
      <c r="P38" s="118">
        <v>0</v>
      </c>
      <c r="Q38" s="118"/>
      <c r="R38" s="124" t="str">
        <f>HYPERLINK("Sac_Maliyet\677216_sac_maliyet.html","aç")</f>
        <v>aç</v>
      </c>
      <c r="S38" s="118" t="s">
        <v>85</v>
      </c>
    </row>
    <row r="39" spans="1:22" ht="15" customHeight="1" x14ac:dyDescent="0.25">
      <c r="A39" s="118" t="s">
        <v>452</v>
      </c>
      <c r="B39" s="118" t="s">
        <v>114</v>
      </c>
      <c r="C39" s="118" t="s">
        <v>113</v>
      </c>
      <c r="D39" s="119">
        <v>78</v>
      </c>
      <c r="E39" s="118">
        <f>COUNTIFS('Sac Parça Detay'!$A$2:$A$544,A39)</f>
        <v>7</v>
      </c>
      <c r="F39" s="118">
        <f>SUMIFS('Sac Parça Detay'!$G$2:$G$544,'Sac Parça Detay'!$A$2:$A$544,A39)</f>
        <v>8</v>
      </c>
      <c r="G39" s="120">
        <f>SUMPRODUCT(('Sac Parça Detay'!$A$2:$A$544=A39)*'Sac Parça Detay'!$K$2:$K$544*'Sac Parça Detay'!$G$2:$G$544)</f>
        <v>0.26484299999999994</v>
      </c>
      <c r="H39" s="120">
        <f>SUMPRODUCT(('Sac Parça Detay'!$A$2:$A$544=A39)*'Sac Parça Detay'!$M$2:$M$544*'Sac Parça Detay'!$G$2:$G$544)</f>
        <v>0.40281106000000005</v>
      </c>
      <c r="I39" s="120">
        <f t="shared" si="3"/>
        <v>0.13796806000000011</v>
      </c>
      <c r="J39" s="121">
        <f t="shared" si="4"/>
        <v>0.34251308789783502</v>
      </c>
      <c r="K39" s="122">
        <f>SUMIFS('Sac Parça Detay'!$T$2:$T$544,'Sac Parça Detay'!$A$2:$A$544,A39)</f>
        <v>13.029084599999999</v>
      </c>
      <c r="L39" s="122">
        <f>SUMIFS('Sac Parça Detay'!$V$2:$V$544,'Sac Parça Detay'!$A$2:$A$544,A39)</f>
        <v>19.576850925999995</v>
      </c>
      <c r="M39" s="122">
        <f>SUMIFS('Sac Parça Detay'!$U$2:$U$544,'Sac Parça Detay'!$A$2:$A$544,A39)</f>
        <v>6.5477663259999996</v>
      </c>
      <c r="N39" s="123">
        <f>SUMIFS('Sac Parça Detay'!$S$2:$S$544,'Sac Parça Detay'!$A$2:$A$544,A39)</f>
        <v>13.518575397745453</v>
      </c>
      <c r="O39" s="123">
        <f t="shared" si="5"/>
        <v>1054.4488810241453</v>
      </c>
      <c r="P39" s="118">
        <v>0</v>
      </c>
      <c r="Q39" s="118"/>
      <c r="R39" s="124" t="str">
        <f>HYPERLINK("Sac_Maliyet\678436_sac_maliyet.html","aç")</f>
        <v>aç</v>
      </c>
      <c r="S39" s="118" t="s">
        <v>85</v>
      </c>
    </row>
    <row r="40" spans="1:22" ht="15" customHeight="1" x14ac:dyDescent="0.25">
      <c r="A40" s="118" t="s">
        <v>597</v>
      </c>
      <c r="B40" s="118" t="s">
        <v>322</v>
      </c>
      <c r="C40" s="118"/>
      <c r="D40" s="119">
        <v>30</v>
      </c>
      <c r="E40" s="118">
        <f>COUNTIFS('Sac Parça Detay'!$A$2:$A$544,A40)</f>
        <v>2</v>
      </c>
      <c r="F40" s="118">
        <f>SUMIFS('Sac Parça Detay'!$G$2:$G$544,'Sac Parça Detay'!$A$2:$A$544,A40)</f>
        <v>3</v>
      </c>
      <c r="G40" s="120">
        <f>SUMPRODUCT(('Sac Parça Detay'!$A$2:$A$544=A40)*'Sac Parça Detay'!$K$2:$K$544*'Sac Parça Detay'!$G$2:$G$544)</f>
        <v>0.131632</v>
      </c>
      <c r="H40" s="120">
        <f>SUMPRODUCT(('Sac Parça Detay'!$A$2:$A$544=A40)*'Sac Parça Detay'!$M$2:$M$544*'Sac Parça Detay'!$G$2:$G$544)</f>
        <v>0.14479999999999998</v>
      </c>
      <c r="I40" s="120">
        <f t="shared" si="3"/>
        <v>1.3167999999999985E-2</v>
      </c>
      <c r="J40" s="121">
        <f t="shared" si="4"/>
        <v>9.0939226519336919E-2</v>
      </c>
      <c r="K40" s="122">
        <f>SUMIFS('Sac Parça Detay'!$T$2:$T$544,'Sac Parça Detay'!$A$2:$A$544,A40)</f>
        <v>10.333112</v>
      </c>
      <c r="L40" s="122">
        <f>SUMIFS('Sac Parça Detay'!$V$2:$V$544,'Sac Parça Detay'!$A$2:$A$544,A40)</f>
        <v>11.3668</v>
      </c>
      <c r="M40" s="122">
        <f>SUMIFS('Sac Parça Detay'!$U$2:$U$544,'Sac Parça Detay'!$A$2:$A$544,A40)</f>
        <v>1.0336879999999999</v>
      </c>
      <c r="N40" s="123">
        <f>SUMIFS('Sac Parça Detay'!$S$2:$S$544,'Sac Parça Detay'!$A$2:$A$544,A40)</f>
        <v>8.7551421090909098</v>
      </c>
      <c r="O40" s="123">
        <f t="shared" si="5"/>
        <v>262.65426327272729</v>
      </c>
      <c r="P40" s="118">
        <v>0</v>
      </c>
      <c r="Q40" s="118"/>
      <c r="R40" s="124" t="str">
        <f>HYPERLINK("Sac_Maliyet\1091748_sac_maliyet.html","aç")</f>
        <v>aç</v>
      </c>
      <c r="S40" s="118" t="s">
        <v>85</v>
      </c>
    </row>
    <row r="41" spans="1:22" ht="15" customHeight="1" x14ac:dyDescent="0.25">
      <c r="A41" s="118" t="s">
        <v>450</v>
      </c>
      <c r="B41" s="118" t="s">
        <v>111</v>
      </c>
      <c r="C41" s="118" t="s">
        <v>93</v>
      </c>
      <c r="D41" s="119">
        <v>106</v>
      </c>
      <c r="E41" s="118">
        <f>COUNTIFS('Sac Parça Detay'!$A$2:$A$544,A41)</f>
        <v>6</v>
      </c>
      <c r="F41" s="118">
        <f>SUMIFS('Sac Parça Detay'!$G$2:$G$544,'Sac Parça Detay'!$A$2:$A$544,A41)</f>
        <v>7</v>
      </c>
      <c r="G41" s="120">
        <f>SUMPRODUCT(('Sac Parça Detay'!$A$2:$A$544=A41)*'Sac Parça Detay'!$K$2:$K$544*'Sac Parça Detay'!$G$2:$G$544)</f>
        <v>0.29058699999999998</v>
      </c>
      <c r="H41" s="120">
        <f>SUMPRODUCT(('Sac Parça Detay'!$A$2:$A$544=A41)*'Sac Parça Detay'!$M$2:$M$544*'Sac Parça Detay'!$G$2:$G$544)</f>
        <v>0.38396449999999999</v>
      </c>
      <c r="I41" s="120">
        <f t="shared" si="3"/>
        <v>9.3377500000000002E-2</v>
      </c>
      <c r="J41" s="121">
        <f t="shared" si="4"/>
        <v>0.24319305560800544</v>
      </c>
      <c r="K41" s="122">
        <f>SUMIFS('Sac Parça Detay'!$T$2:$T$544,'Sac Parça Detay'!$A$2:$A$544,A41)</f>
        <v>12.2355438</v>
      </c>
      <c r="L41" s="122">
        <f>SUMIFS('Sac Parça Detay'!$V$2:$V$544,'Sac Parça Detay'!$A$2:$A$544,A41)</f>
        <v>16.10222615</v>
      </c>
      <c r="M41" s="122">
        <f>SUMIFS('Sac Parça Detay'!$U$2:$U$544,'Sac Parça Detay'!$A$2:$A$544,A41)</f>
        <v>3.8666823499999996</v>
      </c>
      <c r="N41" s="123">
        <f>SUMIFS('Sac Parça Detay'!$S$2:$S$544,'Sac Parça Detay'!$A$2:$A$544,A41)</f>
        <v>11.616321241818182</v>
      </c>
      <c r="O41" s="123">
        <f t="shared" si="5"/>
        <v>1231.3300516327274</v>
      </c>
      <c r="P41" s="118">
        <v>0</v>
      </c>
      <c r="Q41" s="118"/>
      <c r="R41" s="124" t="str">
        <f>HYPERLINK("Sac_Maliyet\386489_sac_maliyet.html","aç")</f>
        <v>aç</v>
      </c>
      <c r="S41" s="118" t="s">
        <v>85</v>
      </c>
    </row>
    <row r="42" spans="1:22" ht="15" customHeight="1" x14ac:dyDescent="0.25">
      <c r="A42" s="118" t="s">
        <v>631</v>
      </c>
      <c r="B42" s="118" t="s">
        <v>366</v>
      </c>
      <c r="C42" s="118" t="s">
        <v>194</v>
      </c>
      <c r="D42" s="119">
        <v>3</v>
      </c>
      <c r="E42" s="118">
        <f>COUNTIFS('Sac Parça Detay'!$A$2:$A$544,A42)</f>
        <v>1</v>
      </c>
      <c r="F42" s="118">
        <f>SUMIFS('Sac Parça Detay'!$G$2:$G$544,'Sac Parça Detay'!$A$2:$A$544,A42)</f>
        <v>1</v>
      </c>
      <c r="G42" s="120">
        <f>SUMPRODUCT(('Sac Parça Detay'!$A$2:$A$544=A42)*'Sac Parça Detay'!$K$2:$K$544*'Sac Parça Detay'!$G$2:$G$544)</f>
        <v>7.0513999999999993E-2</v>
      </c>
      <c r="H42" s="120">
        <f>SUMPRODUCT(('Sac Parça Detay'!$A$2:$A$544=A42)*'Sac Parça Detay'!$M$2:$M$544*'Sac Parça Detay'!$G$2:$G$544)</f>
        <v>0.14992791</v>
      </c>
      <c r="I42" s="120">
        <f t="shared" si="3"/>
        <v>7.9413910000000004E-2</v>
      </c>
      <c r="J42" s="121">
        <f t="shared" si="4"/>
        <v>0.5296806311780109</v>
      </c>
      <c r="K42" s="122">
        <f>SUMIFS('Sac Parça Detay'!$T$2:$T$544,'Sac Parça Detay'!$A$2:$A$544,A42)</f>
        <v>8.3030234999999983</v>
      </c>
      <c r="L42" s="122">
        <f>SUMIFS('Sac Parça Detay'!$V$2:$V$544,'Sac Parça Detay'!$A$2:$A$544,A42)</f>
        <v>17.654011402499997</v>
      </c>
      <c r="M42" s="122">
        <f>SUMIFS('Sac Parça Detay'!$U$2:$U$544,'Sac Parça Detay'!$A$2:$A$544,A42)</f>
        <v>9.3509879025</v>
      </c>
      <c r="N42" s="123">
        <f>SUMIFS('Sac Parça Detay'!$S$2:$S$544,'Sac Parça Detay'!$A$2:$A$544,A42)</f>
        <v>11.062885808454546</v>
      </c>
      <c r="O42" s="123">
        <f t="shared" si="5"/>
        <v>33.188657425363637</v>
      </c>
      <c r="P42" s="118">
        <v>2</v>
      </c>
      <c r="Q42" s="118" t="s">
        <v>1512</v>
      </c>
      <c r="R42" s="124" t="str">
        <f>HYPERLINK("Sac_Maliyet\404630_sac_maliyet.html","aç")</f>
        <v>aç</v>
      </c>
      <c r="S42" s="118" t="s">
        <v>85</v>
      </c>
    </row>
    <row r="43" spans="1:22" ht="15" customHeight="1" x14ac:dyDescent="0.25">
      <c r="A43" s="118" t="s">
        <v>608</v>
      </c>
      <c r="B43" s="118" t="s">
        <v>335</v>
      </c>
      <c r="C43" s="118" t="s">
        <v>139</v>
      </c>
      <c r="D43" s="119">
        <v>22</v>
      </c>
      <c r="E43" s="118">
        <f>COUNTIFS('Sac Parça Detay'!$A$2:$A$544,A43)</f>
        <v>1</v>
      </c>
      <c r="F43" s="118">
        <f>SUMIFS('Sac Parça Detay'!$G$2:$G$544,'Sac Parça Detay'!$A$2:$A$544,A43)</f>
        <v>1</v>
      </c>
      <c r="G43" s="120">
        <f>SUMPRODUCT(('Sac Parça Detay'!$A$2:$A$544=A43)*'Sac Parça Detay'!$K$2:$K$544*'Sac Parça Detay'!$G$2:$G$544)</f>
        <v>0.102585</v>
      </c>
      <c r="H43" s="120">
        <f>SUMPRODUCT(('Sac Parça Detay'!$A$2:$A$544=A43)*'Sac Parça Detay'!$M$2:$M$544*'Sac Parça Detay'!$G$2:$G$544)</f>
        <v>0.18296520999999999</v>
      </c>
      <c r="I43" s="120">
        <f t="shared" si="3"/>
        <v>8.0380209999999994E-2</v>
      </c>
      <c r="J43" s="121">
        <f t="shared" si="4"/>
        <v>0.43931963896305748</v>
      </c>
      <c r="K43" s="122">
        <f>SUMIFS('Sac Parça Detay'!$T$2:$T$544,'Sac Parça Detay'!$A$2:$A$544,A43)</f>
        <v>12.07938375</v>
      </c>
      <c r="L43" s="122">
        <f>SUMIFS('Sac Parça Detay'!$V$2:$V$544,'Sac Parça Detay'!$A$2:$A$544,A43)</f>
        <v>21.5441534775</v>
      </c>
      <c r="M43" s="122">
        <f>SUMIFS('Sac Parça Detay'!$U$2:$U$544,'Sac Parça Detay'!$A$2:$A$544,A43)</f>
        <v>9.4647697274999985</v>
      </c>
      <c r="N43" s="123">
        <f>SUMIFS('Sac Parça Detay'!$S$2:$S$544,'Sac Parça Detay'!$A$2:$A$544,A43)</f>
        <v>14.137761780272728</v>
      </c>
      <c r="O43" s="123">
        <f t="shared" si="5"/>
        <v>311.030759166</v>
      </c>
      <c r="P43" s="118">
        <v>2</v>
      </c>
      <c r="Q43" s="118" t="s">
        <v>1512</v>
      </c>
      <c r="R43" s="124" t="str">
        <f>HYPERLINK("Sac_Maliyet\694385_sac_maliyet.html","aç")</f>
        <v>aç</v>
      </c>
      <c r="S43" s="118" t="s">
        <v>85</v>
      </c>
    </row>
    <row r="44" spans="1:22" ht="15" customHeight="1" x14ac:dyDescent="0.25">
      <c r="A44" s="125" t="s">
        <v>492</v>
      </c>
      <c r="B44" s="125" t="s">
        <v>175</v>
      </c>
      <c r="C44" s="125" t="s">
        <v>107</v>
      </c>
      <c r="D44" s="126">
        <v>32</v>
      </c>
      <c r="E44" s="125">
        <f>COUNTIFS('Sac Parça Detay'!$A$2:$A$544,A44)</f>
        <v>3</v>
      </c>
      <c r="F44" s="125">
        <f>SUMIFS('Sac Parça Detay'!$G$2:$G$544,'Sac Parça Detay'!$A$2:$A$544,A44)</f>
        <v>4</v>
      </c>
      <c r="G44" s="127">
        <f>SUMPRODUCT(('Sac Parça Detay'!$A$2:$A$544=A44)*'Sac Parça Detay'!$K$2:$K$544*'Sac Parça Detay'!$G$2:$G$544)</f>
        <v>7.8216000000000008E-2</v>
      </c>
      <c r="H44" s="127">
        <f>SUMPRODUCT(('Sac Parça Detay'!$A$2:$A$544=A44)*'Sac Parça Detay'!$M$2:$M$544*'Sac Parça Detay'!$G$2:$G$544)</f>
        <v>8.9230000000000004E-2</v>
      </c>
      <c r="I44" s="127">
        <f t="shared" si="3"/>
        <v>1.1013999999999996E-2</v>
      </c>
      <c r="J44" s="128">
        <f t="shared" si="4"/>
        <v>0.1234338227053681</v>
      </c>
      <c r="K44" s="129">
        <f>SUMIFS('Sac Parça Detay'!$T$2:$T$544,'Sac Parça Detay'!$A$2:$A$544,A44)</f>
        <v>11.156545599999999</v>
      </c>
      <c r="L44" s="129">
        <f>SUMIFS('Sac Parça Detay'!$V$2:$V$544,'Sac Parça Detay'!$A$2:$A$544,A44)</f>
        <v>12.205242799999999</v>
      </c>
      <c r="M44" s="129">
        <f>SUMIFS('Sac Parça Detay'!$U$2:$U$544,'Sac Parça Detay'!$A$2:$A$544,A44)</f>
        <v>1.0486971999999994</v>
      </c>
      <c r="N44" s="130">
        <f>SUMIFS('Sac Parça Detay'!$S$2:$S$544,'Sac Parça Detay'!$A$2:$A$544,A44)</f>
        <v>9.4209842472727274</v>
      </c>
      <c r="O44" s="130">
        <f t="shared" si="5"/>
        <v>301.47149591272728</v>
      </c>
      <c r="P44" s="125">
        <v>0</v>
      </c>
      <c r="Q44" s="125"/>
      <c r="R44" s="131" t="str">
        <f>HYPERLINK("Sac_Maliyet\105140_sac_maliyet.html","aç")</f>
        <v>aç</v>
      </c>
      <c r="S44" s="125" t="s">
        <v>85</v>
      </c>
      <c r="T44" s="132">
        <v>11.671728615359999</v>
      </c>
      <c r="U44" s="133">
        <f>N44-T44</f>
        <v>-2.2507443680872719</v>
      </c>
      <c r="V44" s="134" t="s">
        <v>1513</v>
      </c>
    </row>
    <row r="45" spans="1:22" ht="15" customHeight="1" x14ac:dyDescent="0.25">
      <c r="A45" s="118" t="s">
        <v>448</v>
      </c>
      <c r="B45" s="118" t="s">
        <v>108</v>
      </c>
      <c r="C45" s="118" t="s">
        <v>93</v>
      </c>
      <c r="D45" s="119">
        <v>122</v>
      </c>
      <c r="E45" s="118">
        <f>COUNTIFS('Sac Parça Detay'!$A$2:$A$544,A45)</f>
        <v>6</v>
      </c>
      <c r="F45" s="118">
        <f>SUMIFS('Sac Parça Detay'!$G$2:$G$544,'Sac Parça Detay'!$A$2:$A$544,A45)</f>
        <v>7</v>
      </c>
      <c r="G45" s="120">
        <f>SUMPRODUCT(('Sac Parça Detay'!$A$2:$A$544=A45)*'Sac Parça Detay'!$K$2:$K$544*'Sac Parça Detay'!$G$2:$G$544)</f>
        <v>0.26403300000000002</v>
      </c>
      <c r="H45" s="120">
        <f>SUMPRODUCT(('Sac Parça Detay'!$A$2:$A$544=A45)*'Sac Parça Detay'!$M$2:$M$544*'Sac Parça Detay'!$G$2:$G$544)</f>
        <v>0.35131049999999997</v>
      </c>
      <c r="I45" s="120">
        <f t="shared" si="3"/>
        <v>8.7277499999999952E-2</v>
      </c>
      <c r="J45" s="121">
        <f t="shared" si="4"/>
        <v>0.24843407754678543</v>
      </c>
      <c r="K45" s="122">
        <f>SUMIFS('Sac Parça Detay'!$T$2:$T$544,'Sac Parça Detay'!$A$2:$A$544,A45)</f>
        <v>10.984850399999999</v>
      </c>
      <c r="L45" s="122">
        <f>SUMIFS('Sac Parça Detay'!$V$2:$V$544,'Sac Parça Detay'!$A$2:$A$544,A45)</f>
        <v>14.564222749999999</v>
      </c>
      <c r="M45" s="122">
        <f>SUMIFS('Sac Parça Detay'!$U$2:$U$544,'Sac Parça Detay'!$A$2:$A$544,A45)</f>
        <v>3.5793723500000003</v>
      </c>
      <c r="N45" s="123">
        <f>SUMIFS('Sac Parça Detay'!$S$2:$S$544,'Sac Parça Detay'!$A$2:$A$544,A45)</f>
        <v>10.479947249090911</v>
      </c>
      <c r="O45" s="123">
        <f t="shared" si="5"/>
        <v>1278.5535643890912</v>
      </c>
      <c r="P45" s="118">
        <v>0</v>
      </c>
      <c r="Q45" s="118"/>
      <c r="R45" s="124" t="str">
        <f>HYPERLINK("Sac_Maliyet\475601_sac_maliyet.html","aç")</f>
        <v>aç</v>
      </c>
      <c r="S45" s="118" t="s">
        <v>85</v>
      </c>
    </row>
    <row r="46" spans="1:22" ht="15" customHeight="1" x14ac:dyDescent="0.25">
      <c r="A46" s="118" t="s">
        <v>479</v>
      </c>
      <c r="B46" s="118" t="s">
        <v>159</v>
      </c>
      <c r="C46" s="118" t="s">
        <v>110</v>
      </c>
      <c r="D46" s="119">
        <v>55</v>
      </c>
      <c r="E46" s="118">
        <f>COUNTIFS('Sac Parça Detay'!$A$2:$A$544,A46)</f>
        <v>3</v>
      </c>
      <c r="F46" s="118">
        <f>SUMIFS('Sac Parça Detay'!$G$2:$G$544,'Sac Parça Detay'!$A$2:$A$544,A46)</f>
        <v>4</v>
      </c>
      <c r="G46" s="120">
        <f>SUMPRODUCT(('Sac Parça Detay'!$A$2:$A$544=A46)*'Sac Parça Detay'!$K$2:$K$544*'Sac Parça Detay'!$G$2:$G$544)</f>
        <v>0.18479500000000001</v>
      </c>
      <c r="H46" s="120">
        <f>SUMPRODUCT(('Sac Parça Detay'!$A$2:$A$544=A46)*'Sac Parça Detay'!$M$2:$M$544*'Sac Parça Detay'!$G$2:$G$544)</f>
        <v>0.2437638</v>
      </c>
      <c r="I46" s="120">
        <f t="shared" si="3"/>
        <v>5.8968799999999988E-2</v>
      </c>
      <c r="J46" s="121">
        <f t="shared" si="4"/>
        <v>0.24190958624701447</v>
      </c>
      <c r="K46" s="122">
        <f>SUMIFS('Sac Parça Detay'!$T$2:$T$544,'Sac Parça Detay'!$A$2:$A$544,A46)</f>
        <v>8.7038444999999989</v>
      </c>
      <c r="L46" s="122">
        <f>SUMIFS('Sac Parça Detay'!$V$2:$V$544,'Sac Parça Detay'!$A$2:$A$544,A46)</f>
        <v>11.481274979999998</v>
      </c>
      <c r="M46" s="122">
        <f>SUMIFS('Sac Parça Detay'!$U$2:$U$544,'Sac Parça Detay'!$A$2:$A$544,A46)</f>
        <v>2.77743048</v>
      </c>
      <c r="N46" s="123">
        <f>SUMIFS('Sac Parça Detay'!$S$2:$S$544,'Sac Parça Detay'!$A$2:$A$544,A46)</f>
        <v>8.2760427359999991</v>
      </c>
      <c r="O46" s="123">
        <f t="shared" si="5"/>
        <v>455.18235047999997</v>
      </c>
      <c r="P46" s="118">
        <v>0</v>
      </c>
      <c r="Q46" s="118"/>
      <c r="R46" s="124" t="str">
        <f>HYPERLINK("Sac_Maliyet\106257_sac_maliyet.html","aç")</f>
        <v>aç</v>
      </c>
      <c r="S46" s="118" t="s">
        <v>85</v>
      </c>
    </row>
    <row r="47" spans="1:22" ht="15" customHeight="1" x14ac:dyDescent="0.25">
      <c r="A47" s="118" t="s">
        <v>497</v>
      </c>
      <c r="B47" s="118" t="s">
        <v>186</v>
      </c>
      <c r="C47" s="118" t="s">
        <v>156</v>
      </c>
      <c r="D47" s="119">
        <v>27</v>
      </c>
      <c r="E47" s="118">
        <f>COUNTIFS('Sac Parça Detay'!$A$2:$A$544,A47)</f>
        <v>4</v>
      </c>
      <c r="F47" s="118">
        <f>SUMIFS('Sac Parça Detay'!$G$2:$G$544,'Sac Parça Detay'!$A$2:$A$544,A47)</f>
        <v>4</v>
      </c>
      <c r="G47" s="120">
        <f>SUMPRODUCT(('Sac Parça Detay'!$A$2:$A$544=A47)*'Sac Parça Detay'!$K$2:$K$544*'Sac Parça Detay'!$G$2:$G$544)</f>
        <v>0.18784200000000001</v>
      </c>
      <c r="H47" s="120">
        <f>SUMPRODUCT(('Sac Parça Detay'!$A$2:$A$544=A47)*'Sac Parça Detay'!$M$2:$M$544*'Sac Parça Detay'!$G$2:$G$544)</f>
        <v>0.51396564</v>
      </c>
      <c r="I47" s="120">
        <f t="shared" si="3"/>
        <v>0.32612363999999999</v>
      </c>
      <c r="J47" s="121">
        <f t="shared" si="4"/>
        <v>0.63452420671545284</v>
      </c>
      <c r="K47" s="122">
        <f>SUMIFS('Sac Parça Detay'!$T$2:$T$544,'Sac Parça Detay'!$A$2:$A$544,A47)</f>
        <v>10.168387599999999</v>
      </c>
      <c r="L47" s="122">
        <f>SUMIFS('Sac Parça Detay'!$V$2:$V$544,'Sac Parça Detay'!$A$2:$A$544,A47)</f>
        <v>25.835306444</v>
      </c>
      <c r="M47" s="122">
        <f>SUMIFS('Sac Parça Detay'!$U$2:$U$544,'Sac Parça Detay'!$A$2:$A$544,A47)</f>
        <v>15.666918843999998</v>
      </c>
      <c r="N47" s="123">
        <f>SUMIFS('Sac Parça Detay'!$S$2:$S$544,'Sac Parça Detay'!$A$2:$A$544,A47)</f>
        <v>15.540889897163636</v>
      </c>
      <c r="O47" s="123">
        <f t="shared" si="5"/>
        <v>419.60402722341814</v>
      </c>
      <c r="P47" s="118">
        <v>0</v>
      </c>
      <c r="Q47" s="118"/>
      <c r="R47" s="124" t="str">
        <f>HYPERLINK("Sac_Maliyet\105666_sac_maliyet.html","aç")</f>
        <v>aç</v>
      </c>
      <c r="S47" s="118" t="s">
        <v>85</v>
      </c>
    </row>
    <row r="48" spans="1:22" ht="15" customHeight="1" x14ac:dyDescent="0.25">
      <c r="A48" s="118" t="s">
        <v>511</v>
      </c>
      <c r="B48" s="118" t="s">
        <v>205</v>
      </c>
      <c r="C48" s="118" t="s">
        <v>156</v>
      </c>
      <c r="D48" s="119">
        <v>16</v>
      </c>
      <c r="E48" s="118">
        <f>COUNTIFS('Sac Parça Detay'!$A$2:$A$544,A48)</f>
        <v>3</v>
      </c>
      <c r="F48" s="118">
        <f>SUMIFS('Sac Parça Detay'!$G$2:$G$544,'Sac Parça Detay'!$A$2:$A$544,A48)</f>
        <v>3</v>
      </c>
      <c r="G48" s="120">
        <f>SUMPRODUCT(('Sac Parça Detay'!$A$2:$A$544=A48)*'Sac Parça Detay'!$K$2:$K$544*'Sac Parça Detay'!$G$2:$G$544)</f>
        <v>0.159437</v>
      </c>
      <c r="H48" s="120">
        <f>SUMPRODUCT(('Sac Parça Detay'!$A$2:$A$544=A48)*'Sac Parça Detay'!$M$2:$M$544*'Sac Parça Detay'!$G$2:$G$544)</f>
        <v>0.27862587</v>
      </c>
      <c r="I48" s="120">
        <f t="shared" si="3"/>
        <v>0.11918887</v>
      </c>
      <c r="J48" s="121">
        <f t="shared" si="4"/>
        <v>0.42777388187249088</v>
      </c>
      <c r="K48" s="122">
        <f>SUMIFS('Sac Parça Detay'!$T$2:$T$544,'Sac Parça Detay'!$A$2:$A$544,A48)</f>
        <v>10.012643599999999</v>
      </c>
      <c r="L48" s="122">
        <f>SUMIFS('Sac Parça Detay'!$V$2:$V$544,'Sac Parça Detay'!$A$2:$A$544,A48)</f>
        <v>17.497704635999998</v>
      </c>
      <c r="M48" s="122">
        <f>SUMIFS('Sac Parça Detay'!$U$2:$U$544,'Sac Parça Detay'!$A$2:$A$544,A48)</f>
        <v>7.4850610359999985</v>
      </c>
      <c r="N48" s="123">
        <f>SUMIFS('Sac Parça Detay'!$S$2:$S$544,'Sac Parça Detay'!$A$2:$A$544,A48)</f>
        <v>11.548507369745455</v>
      </c>
      <c r="O48" s="123">
        <f t="shared" si="5"/>
        <v>184.77611791592727</v>
      </c>
      <c r="P48" s="118">
        <v>0</v>
      </c>
      <c r="Q48" s="118" t="s">
        <v>1508</v>
      </c>
      <c r="R48" s="124" t="str">
        <f>HYPERLINK("Sac_Maliyet\707775_sac_maliyet.html","aç")</f>
        <v>aç</v>
      </c>
      <c r="S48" s="118" t="s">
        <v>85</v>
      </c>
    </row>
    <row r="49" spans="1:22" ht="15" customHeight="1" x14ac:dyDescent="0.25">
      <c r="A49" s="118" t="s">
        <v>529</v>
      </c>
      <c r="B49" s="118" t="s">
        <v>224</v>
      </c>
      <c r="C49" s="118" t="s">
        <v>194</v>
      </c>
      <c r="D49" s="119">
        <v>10</v>
      </c>
      <c r="E49" s="118">
        <f>COUNTIFS('Sac Parça Detay'!$A$2:$A$544,A49)</f>
        <v>4</v>
      </c>
      <c r="F49" s="118">
        <f>SUMIFS('Sac Parça Detay'!$G$2:$G$544,'Sac Parça Detay'!$A$2:$A$544,A49)</f>
        <v>4</v>
      </c>
      <c r="G49" s="120">
        <f>SUMPRODUCT(('Sac Parça Detay'!$A$2:$A$544=A49)*'Sac Parça Detay'!$K$2:$K$544*'Sac Parça Detay'!$G$2:$G$544)</f>
        <v>0.17715599999999998</v>
      </c>
      <c r="H49" s="120">
        <f>SUMPRODUCT(('Sac Parça Detay'!$A$2:$A$544=A49)*'Sac Parça Detay'!$M$2:$M$544*'Sac Parça Detay'!$G$2:$G$544)</f>
        <v>0.48586351999999988</v>
      </c>
      <c r="I49" s="120">
        <f t="shared" si="3"/>
        <v>0.3087075199999999</v>
      </c>
      <c r="J49" s="121">
        <f t="shared" si="4"/>
        <v>0.63537908752647243</v>
      </c>
      <c r="K49" s="122">
        <f>SUMIFS('Sac Parça Detay'!$T$2:$T$544,'Sac Parça Detay'!$A$2:$A$544,A49)</f>
        <v>9.4946848999999993</v>
      </c>
      <c r="L49" s="122">
        <f>SUMIFS('Sac Parça Detay'!$V$2:$V$544,'Sac Parça Detay'!$A$2:$A$544,A49)</f>
        <v>24.284809611999997</v>
      </c>
      <c r="M49" s="122">
        <f>SUMIFS('Sac Parça Detay'!$U$2:$U$544,'Sac Parça Detay'!$A$2:$A$544,A49)</f>
        <v>14.790124711999997</v>
      </c>
      <c r="N49" s="123">
        <f>SUMIFS('Sac Parça Detay'!$S$2:$S$544,'Sac Parça Detay'!$A$2:$A$544,A49)</f>
        <v>14.587443238400001</v>
      </c>
      <c r="O49" s="123">
        <f t="shared" si="5"/>
        <v>145.87443238400002</v>
      </c>
      <c r="P49" s="118">
        <v>0</v>
      </c>
      <c r="Q49" s="118"/>
      <c r="R49" s="124" t="str">
        <f>HYPERLINK("Sac_Maliyet\235743_sac_maliyet.html","aç")</f>
        <v>aç</v>
      </c>
      <c r="S49" s="118" t="s">
        <v>85</v>
      </c>
    </row>
    <row r="50" spans="1:22" ht="15" customHeight="1" x14ac:dyDescent="0.25">
      <c r="A50" s="118" t="s">
        <v>495</v>
      </c>
      <c r="B50" s="118" t="s">
        <v>183</v>
      </c>
      <c r="C50" s="118" t="s">
        <v>117</v>
      </c>
      <c r="D50" s="119">
        <v>13</v>
      </c>
      <c r="E50" s="118">
        <f>COUNTIFS('Sac Parça Detay'!$A$2:$A$544,A50)</f>
        <v>6</v>
      </c>
      <c r="F50" s="118">
        <f>SUMIFS('Sac Parça Detay'!$G$2:$G$544,'Sac Parça Detay'!$A$2:$A$544,A50)</f>
        <v>8</v>
      </c>
      <c r="G50" s="120">
        <f>SUMPRODUCT(('Sac Parça Detay'!$A$2:$A$544=A50)*'Sac Parça Detay'!$K$2:$K$544*'Sac Parça Detay'!$G$2:$G$544)</f>
        <v>0.21720100000000003</v>
      </c>
      <c r="H50" s="120">
        <f>SUMPRODUCT(('Sac Parça Detay'!$A$2:$A$544=A50)*'Sac Parça Detay'!$M$2:$M$544*'Sac Parça Detay'!$G$2:$G$544)</f>
        <v>0.27227499000000005</v>
      </c>
      <c r="I50" s="120">
        <f t="shared" si="3"/>
        <v>5.5073990000000017E-2</v>
      </c>
      <c r="J50" s="121">
        <f t="shared" si="4"/>
        <v>0.20227340748410277</v>
      </c>
      <c r="K50" s="122">
        <f>SUMIFS('Sac Parça Detay'!$T$2:$T$544,'Sac Parça Detay'!$A$2:$A$544,A50)</f>
        <v>8.7067254499999986</v>
      </c>
      <c r="L50" s="122">
        <f>SUMIFS('Sac Parça Detay'!$V$2:$V$544,'Sac Parça Detay'!$A$2:$A$544,A50)</f>
        <v>10.9010983575</v>
      </c>
      <c r="M50" s="122">
        <f>SUMIFS('Sac Parça Detay'!$U$2:$U$544,'Sac Parça Detay'!$A$2:$A$544,A50)</f>
        <v>2.1943729075000009</v>
      </c>
      <c r="N50" s="123">
        <f>SUMIFS('Sac Parça Detay'!$S$2:$S$544,'Sac Parça Detay'!$A$2:$A$544,A50)</f>
        <v>8.0027202799090915</v>
      </c>
      <c r="O50" s="123">
        <f t="shared" si="5"/>
        <v>104.03536363881818</v>
      </c>
      <c r="P50" s="118">
        <v>3</v>
      </c>
      <c r="Q50" s="118" t="s">
        <v>1508</v>
      </c>
      <c r="R50" s="124" t="str">
        <f>HYPERLINK("Sac_Maliyet\1298479_sac_maliyet.html","aç")</f>
        <v>aç</v>
      </c>
      <c r="S50" s="118" t="s">
        <v>85</v>
      </c>
    </row>
    <row r="51" spans="1:22" ht="15" customHeight="1" x14ac:dyDescent="0.25">
      <c r="A51" s="118" t="s">
        <v>541</v>
      </c>
      <c r="B51" s="118" t="s">
        <v>240</v>
      </c>
      <c r="C51" s="118" t="s">
        <v>84</v>
      </c>
      <c r="D51" s="119">
        <v>3</v>
      </c>
      <c r="E51" s="118">
        <f>COUNTIFS('Sac Parça Detay'!$A$2:$A$544,A51)</f>
        <v>6</v>
      </c>
      <c r="F51" s="118">
        <f>SUMIFS('Sac Parça Detay'!$G$2:$G$544,'Sac Parça Detay'!$A$2:$A$544,A51)</f>
        <v>9</v>
      </c>
      <c r="G51" s="120">
        <f>SUMPRODUCT(('Sac Parça Detay'!$A$2:$A$544=A51)*'Sac Parça Detay'!$K$2:$K$544*'Sac Parça Detay'!$G$2:$G$544)</f>
        <v>0.19803499999999999</v>
      </c>
      <c r="H51" s="120">
        <f>SUMPRODUCT(('Sac Parça Detay'!$A$2:$A$544=A51)*'Sac Parça Detay'!$M$2:$M$544*'Sac Parça Detay'!$G$2:$G$544)</f>
        <v>0.39152399999999998</v>
      </c>
      <c r="I51" s="120">
        <f t="shared" si="3"/>
        <v>0.19348899999999999</v>
      </c>
      <c r="J51" s="121">
        <f t="shared" si="4"/>
        <v>0.4941944810535242</v>
      </c>
      <c r="K51" s="122">
        <f>SUMIFS('Sac Parça Detay'!$T$2:$T$544,'Sac Parça Detay'!$A$2:$A$544,A51)</f>
        <v>8.8140035499999989</v>
      </c>
      <c r="L51" s="122">
        <f>SUMIFS('Sac Parça Detay'!$V$2:$V$544,'Sac Parça Detay'!$A$2:$A$544,A51)</f>
        <v>17.421512849999999</v>
      </c>
      <c r="M51" s="122">
        <f>SUMIFS('Sac Parça Detay'!$U$2:$U$544,'Sac Parça Detay'!$A$2:$A$544,A51)</f>
        <v>8.6075093000000003</v>
      </c>
      <c r="N51" s="123">
        <f>SUMIFS('Sac Parça Detay'!$S$2:$S$544,'Sac Parça Detay'!$A$2:$A$544,A51)</f>
        <v>11.120207236363637</v>
      </c>
      <c r="O51" s="123">
        <f t="shared" si="5"/>
        <v>33.360621709090907</v>
      </c>
      <c r="P51" s="118">
        <v>0</v>
      </c>
      <c r="Q51" s="118"/>
      <c r="R51" s="124" t="str">
        <f>HYPERLINK("Sac_Maliyet\1276458_sac_maliyet.html","aç")</f>
        <v>aç</v>
      </c>
      <c r="S51" s="118" t="s">
        <v>85</v>
      </c>
    </row>
    <row r="52" spans="1:22" ht="15" customHeight="1" x14ac:dyDescent="0.25">
      <c r="A52" s="118" t="s">
        <v>459</v>
      </c>
      <c r="B52" s="118" t="s">
        <v>128</v>
      </c>
      <c r="C52" s="118" t="s">
        <v>110</v>
      </c>
      <c r="D52" s="119">
        <v>85</v>
      </c>
      <c r="E52" s="118">
        <f>COUNTIFS('Sac Parça Detay'!$A$2:$A$544,A52)</f>
        <v>4</v>
      </c>
      <c r="F52" s="118">
        <f>SUMIFS('Sac Parça Detay'!$G$2:$G$544,'Sac Parça Detay'!$A$2:$A$544,A52)</f>
        <v>4</v>
      </c>
      <c r="G52" s="120">
        <f>SUMPRODUCT(('Sac Parça Detay'!$A$2:$A$544=A52)*'Sac Parça Detay'!$K$2:$K$544*'Sac Parça Detay'!$G$2:$G$544)</f>
        <v>0.211282</v>
      </c>
      <c r="H52" s="120">
        <f>SUMPRODUCT(('Sac Parça Detay'!$A$2:$A$544=A52)*'Sac Parça Detay'!$M$2:$M$544*'Sac Parça Detay'!$G$2:$G$544)</f>
        <v>0.26966900000000005</v>
      </c>
      <c r="I52" s="120">
        <f t="shared" si="3"/>
        <v>5.838700000000005E-2</v>
      </c>
      <c r="J52" s="121">
        <f t="shared" si="4"/>
        <v>0.2165135777564349</v>
      </c>
      <c r="K52" s="122">
        <f>SUMIFS('Sac Parça Detay'!$T$2:$T$544,'Sac Parça Detay'!$A$2:$A$544,A52)</f>
        <v>8.292818500000001</v>
      </c>
      <c r="L52" s="122">
        <f>SUMIFS('Sac Parça Detay'!$V$2:$V$544,'Sac Parça Detay'!$A$2:$A$544,A52)</f>
        <v>10.584508250000001</v>
      </c>
      <c r="M52" s="122">
        <f>SUMIFS('Sac Parça Detay'!$U$2:$U$544,'Sac Parça Detay'!$A$2:$A$544,A52)</f>
        <v>2.2916897499999993</v>
      </c>
      <c r="N52" s="123">
        <f>SUMIFS('Sac Parça Detay'!$S$2:$S$544,'Sac Parça Detay'!$A$2:$A$544,A52)</f>
        <v>7.7175990454545458</v>
      </c>
      <c r="O52" s="123">
        <f t="shared" si="5"/>
        <v>655.99591886363635</v>
      </c>
      <c r="P52" s="118">
        <v>0</v>
      </c>
      <c r="Q52" s="118"/>
      <c r="R52" s="124" t="str">
        <f>HYPERLINK("Sac_Maliyet\106773_sac_maliyet.html","aç")</f>
        <v>aç</v>
      </c>
      <c r="S52" s="118" t="s">
        <v>85</v>
      </c>
    </row>
    <row r="53" spans="1:22" ht="15" customHeight="1" x14ac:dyDescent="0.25">
      <c r="A53" s="125" t="s">
        <v>603</v>
      </c>
      <c r="B53" s="125" t="s">
        <v>329</v>
      </c>
      <c r="C53" s="125" t="s">
        <v>93</v>
      </c>
      <c r="D53" s="126">
        <v>10</v>
      </c>
      <c r="E53" s="125">
        <f>COUNTIFS('Sac Parça Detay'!$A$2:$A$544,A53)</f>
        <v>3</v>
      </c>
      <c r="F53" s="125">
        <f>SUMIFS('Sac Parça Detay'!$G$2:$G$544,'Sac Parça Detay'!$A$2:$A$544,A53)</f>
        <v>4</v>
      </c>
      <c r="G53" s="127">
        <f>SUMPRODUCT(('Sac Parça Detay'!$A$2:$A$544=A53)*'Sac Parça Detay'!$K$2:$K$544*'Sac Parça Detay'!$G$2:$G$544)</f>
        <v>5.4818999999999993E-2</v>
      </c>
      <c r="H53" s="127">
        <f>SUMPRODUCT(('Sac Parça Detay'!$A$2:$A$544=A53)*'Sac Parça Detay'!$M$2:$M$544*'Sac Parça Detay'!$G$2:$G$544)</f>
        <v>5.8513820000000001E-2</v>
      </c>
      <c r="I53" s="127">
        <f t="shared" si="3"/>
        <v>3.6948200000000084E-3</v>
      </c>
      <c r="J53" s="128">
        <f t="shared" si="4"/>
        <v>6.3144399049660543E-2</v>
      </c>
      <c r="K53" s="129">
        <f>SUMIFS('Sac Parça Detay'!$T$2:$T$544,'Sac Parça Detay'!$A$2:$A$544,A53)</f>
        <v>8.277134199999999</v>
      </c>
      <c r="L53" s="129">
        <f>SUMIFS('Sac Parça Detay'!$V$2:$V$544,'Sac Parça Detay'!$A$2:$A$544,A53)</f>
        <v>8.6380602439999983</v>
      </c>
      <c r="M53" s="129">
        <f>SUMIFS('Sac Parça Detay'!$U$2:$U$544,'Sac Parça Detay'!$A$2:$A$544,A53)</f>
        <v>0.360926044</v>
      </c>
      <c r="N53" s="130">
        <f>SUMIFS('Sac Parça Detay'!$S$2:$S$544,'Sac Parça Detay'!$A$2:$A$544,A53)</f>
        <v>6.792326944436363</v>
      </c>
      <c r="O53" s="130">
        <f t="shared" si="5"/>
        <v>67.923269444363626</v>
      </c>
      <c r="P53" s="125">
        <v>0</v>
      </c>
      <c r="Q53" s="125"/>
      <c r="R53" s="131" t="str">
        <f>HYPERLINK("Sac_Maliyet\234456_sac_maliyet.html","aç")</f>
        <v>aç</v>
      </c>
      <c r="S53" s="125" t="s">
        <v>85</v>
      </c>
      <c r="T53" s="132">
        <v>8.3383689542111998</v>
      </c>
      <c r="U53" s="133">
        <f>N53-T53</f>
        <v>-1.5460420097748369</v>
      </c>
      <c r="V53" s="134" t="s">
        <v>1514</v>
      </c>
    </row>
    <row r="54" spans="1:22" ht="15" customHeight="1" x14ac:dyDescent="0.25">
      <c r="A54" s="125" t="s">
        <v>513</v>
      </c>
      <c r="B54" s="125" t="s">
        <v>207</v>
      </c>
      <c r="C54" s="125" t="s">
        <v>117</v>
      </c>
      <c r="D54" s="126">
        <v>16</v>
      </c>
      <c r="E54" s="125">
        <f>COUNTIFS('Sac Parça Detay'!$A$2:$A$544,A54)</f>
        <v>3</v>
      </c>
      <c r="F54" s="125">
        <f>SUMIFS('Sac Parça Detay'!$G$2:$G$544,'Sac Parça Detay'!$A$2:$A$544,A54)</f>
        <v>4</v>
      </c>
      <c r="G54" s="127">
        <f>SUMPRODUCT(('Sac Parça Detay'!$A$2:$A$544=A54)*'Sac Parça Detay'!$K$2:$K$544*'Sac Parça Detay'!$G$2:$G$544)</f>
        <v>5.6260999999999999E-2</v>
      </c>
      <c r="H54" s="127">
        <f>SUMPRODUCT(('Sac Parça Detay'!$A$2:$A$544=A54)*'Sac Parça Detay'!$M$2:$M$544*'Sac Parça Detay'!$G$2:$G$544)</f>
        <v>6.2532119999999997E-2</v>
      </c>
      <c r="I54" s="127">
        <f t="shared" si="3"/>
        <v>6.2711199999999981E-3</v>
      </c>
      <c r="J54" s="128">
        <f t="shared" si="4"/>
        <v>0.10028638082316733</v>
      </c>
      <c r="K54" s="129">
        <f>SUMIFS('Sac Parça Detay'!$T$2:$T$544,'Sac Parça Detay'!$A$2:$A$544,A54)</f>
        <v>8.2002041999999999</v>
      </c>
      <c r="L54" s="129">
        <f>SUMIFS('Sac Parça Detay'!$V$2:$V$544,'Sac Parça Detay'!$A$2:$A$544,A54)</f>
        <v>8.7981657039999988</v>
      </c>
      <c r="M54" s="129">
        <f>SUMIFS('Sac Parça Detay'!$U$2:$U$544,'Sac Parça Detay'!$A$2:$A$544,A54)</f>
        <v>0.59796150399999992</v>
      </c>
      <c r="N54" s="130">
        <f>SUMIFS('Sac Parça Detay'!$S$2:$S$544,'Sac Parça Detay'!$A$2:$A$544,A54)</f>
        <v>6.8428360709818188</v>
      </c>
      <c r="O54" s="130">
        <f t="shared" si="5"/>
        <v>109.4853771357091</v>
      </c>
      <c r="P54" s="125">
        <v>0</v>
      </c>
      <c r="Q54" s="125"/>
      <c r="R54" s="131" t="str">
        <f>HYPERLINK("Sac_Maliyet\108027_sac_maliyet.html","aç")</f>
        <v>aç</v>
      </c>
      <c r="S54" s="125" t="s">
        <v>85</v>
      </c>
      <c r="T54" s="132">
        <v>8.4464563176191998</v>
      </c>
      <c r="U54" s="133">
        <f>N54-T54</f>
        <v>-1.603620246637381</v>
      </c>
      <c r="V54" s="134" t="s">
        <v>1515</v>
      </c>
    </row>
    <row r="55" spans="1:22" ht="15" customHeight="1" x14ac:dyDescent="0.25">
      <c r="A55" s="118" t="s">
        <v>585</v>
      </c>
      <c r="B55" s="118" t="s">
        <v>307</v>
      </c>
      <c r="C55" s="118" t="s">
        <v>194</v>
      </c>
      <c r="D55" s="119">
        <v>1</v>
      </c>
      <c r="E55" s="118">
        <f>COUNTIFS('Sac Parça Detay'!$A$2:$A$544,A55)</f>
        <v>2</v>
      </c>
      <c r="F55" s="118">
        <f>SUMIFS('Sac Parça Detay'!$G$2:$G$544,'Sac Parça Detay'!$A$2:$A$544,A55)</f>
        <v>3</v>
      </c>
      <c r="G55" s="120">
        <f>SUMPRODUCT(('Sac Parça Detay'!$A$2:$A$544=A55)*'Sac Parça Detay'!$K$2:$K$544*'Sac Parça Detay'!$G$2:$G$544)</f>
        <v>0.15525499999999998</v>
      </c>
      <c r="H55" s="120">
        <f>SUMPRODUCT(('Sac Parça Detay'!$A$2:$A$544=A55)*'Sac Parça Detay'!$M$2:$M$544*'Sac Parça Detay'!$G$2:$G$544)</f>
        <v>0.21651165999999999</v>
      </c>
      <c r="I55" s="120">
        <f t="shared" si="3"/>
        <v>6.1256660000000018E-2</v>
      </c>
      <c r="J55" s="121">
        <f t="shared" si="4"/>
        <v>0.2829254553773225</v>
      </c>
      <c r="K55" s="122">
        <f>SUMIFS('Sac Parça Detay'!$T$2:$T$544,'Sac Parça Detay'!$A$2:$A$544,A55)</f>
        <v>7.7062036999999988</v>
      </c>
      <c r="L55" s="122">
        <f>SUMIFS('Sac Parça Detay'!$V$2:$V$544,'Sac Parça Detay'!$A$2:$A$544,A55)</f>
        <v>10.930492917999999</v>
      </c>
      <c r="M55" s="122">
        <f>SUMIFS('Sac Parça Detay'!$U$2:$U$544,'Sac Parça Detay'!$A$2:$A$544,A55)</f>
        <v>3.224289218</v>
      </c>
      <c r="N55" s="123">
        <f>SUMIFS('Sac Parça Detay'!$S$2:$S$544,'Sac Parça Detay'!$A$2:$A$544,A55)</f>
        <v>7.6891724085090907</v>
      </c>
      <c r="O55" s="123">
        <f t="shared" si="5"/>
        <v>7.6891724085090907</v>
      </c>
      <c r="P55" s="118">
        <v>0</v>
      </c>
      <c r="Q55" s="118"/>
      <c r="R55" s="124" t="str">
        <f>HYPERLINK("Sac_Maliyet\380290_sac_maliyet.html","aç")</f>
        <v>aç</v>
      </c>
      <c r="S55" s="118" t="s">
        <v>85</v>
      </c>
    </row>
    <row r="56" spans="1:22" ht="15" customHeight="1" x14ac:dyDescent="0.25">
      <c r="A56" s="118" t="s">
        <v>470</v>
      </c>
      <c r="B56" s="118" t="s">
        <v>147</v>
      </c>
      <c r="C56" s="118" t="s">
        <v>148</v>
      </c>
      <c r="D56" s="119">
        <v>56</v>
      </c>
      <c r="E56" s="118">
        <f>COUNTIFS('Sac Parça Detay'!$A$2:$A$544,A56)</f>
        <v>5</v>
      </c>
      <c r="F56" s="118">
        <f>SUMIFS('Sac Parça Detay'!$G$2:$G$544,'Sac Parça Detay'!$A$2:$A$544,A56)</f>
        <v>5</v>
      </c>
      <c r="G56" s="120">
        <f>SUMPRODUCT(('Sac Parça Detay'!$A$2:$A$544=A56)*'Sac Parça Detay'!$K$2:$K$544*'Sac Parça Detay'!$G$2:$G$544)</f>
        <v>0.25169399999999997</v>
      </c>
      <c r="H56" s="120">
        <f>SUMPRODUCT(('Sac Parça Detay'!$A$2:$A$544=A56)*'Sac Parça Detay'!$M$2:$M$544*'Sac Parça Detay'!$G$2:$G$544)</f>
        <v>0.69952939000000003</v>
      </c>
      <c r="I56" s="120">
        <f t="shared" si="3"/>
        <v>0.44783539000000006</v>
      </c>
      <c r="J56" s="121">
        <f t="shared" si="4"/>
        <v>0.64019524612111012</v>
      </c>
      <c r="K56" s="122">
        <f>SUMIFS('Sac Parça Detay'!$T$2:$T$544,'Sac Parça Detay'!$A$2:$A$544,A56)</f>
        <v>10.273938699999999</v>
      </c>
      <c r="L56" s="122">
        <f>SUMIFS('Sac Parça Detay'!$V$2:$V$544,'Sac Parça Detay'!$A$2:$A$544,A56)</f>
        <v>30.935637331999995</v>
      </c>
      <c r="M56" s="122">
        <f>SUMIFS('Sac Parça Detay'!$U$2:$U$544,'Sac Parça Detay'!$A$2:$A$544,A56)</f>
        <v>20.661698632</v>
      </c>
      <c r="N56" s="123">
        <f>SUMIFS('Sac Parça Detay'!$S$2:$S$544,'Sac Parça Detay'!$A$2:$A$544,A56)</f>
        <v>17.986499404218186</v>
      </c>
      <c r="O56" s="123">
        <f t="shared" si="5"/>
        <v>1007.2439666362184</v>
      </c>
      <c r="P56" s="118">
        <v>0</v>
      </c>
      <c r="Q56" s="118"/>
      <c r="R56" s="124" t="str">
        <f>HYPERLINK("Sac_Maliyet\284248_sac_maliyet.html","aç")</f>
        <v>aç</v>
      </c>
      <c r="S56" s="118" t="s">
        <v>85</v>
      </c>
    </row>
    <row r="57" spans="1:22" ht="15" customHeight="1" x14ac:dyDescent="0.25">
      <c r="A57" s="118" t="s">
        <v>615</v>
      </c>
      <c r="B57" s="118" t="s">
        <v>347</v>
      </c>
      <c r="C57" s="118"/>
      <c r="D57" s="119">
        <v>5</v>
      </c>
      <c r="E57" s="118">
        <f>COUNTIFS('Sac Parça Detay'!$A$2:$A$544,A57)</f>
        <v>4</v>
      </c>
      <c r="F57" s="118">
        <f>SUMIFS('Sac Parça Detay'!$G$2:$G$544,'Sac Parça Detay'!$A$2:$A$544,A57)</f>
        <v>4</v>
      </c>
      <c r="G57" s="120">
        <f>SUMPRODUCT(('Sac Parça Detay'!$A$2:$A$544=A57)*'Sac Parça Detay'!$K$2:$K$544*'Sac Parça Detay'!$G$2:$G$544)</f>
        <v>0.20221800000000001</v>
      </c>
      <c r="H57" s="120">
        <f>SUMPRODUCT(('Sac Parça Detay'!$A$2:$A$544=A57)*'Sac Parça Detay'!$M$2:$M$544*'Sac Parça Detay'!$G$2:$G$544)</f>
        <v>0.54395494</v>
      </c>
      <c r="I57" s="120">
        <f t="shared" si="3"/>
        <v>0.34173693999999999</v>
      </c>
      <c r="J57" s="121">
        <f t="shared" si="4"/>
        <v>0.62824494249468532</v>
      </c>
      <c r="K57" s="122">
        <f>SUMIFS('Sac Parça Detay'!$T$2:$T$544,'Sac Parça Detay'!$A$2:$A$544,A57)</f>
        <v>9.5244678</v>
      </c>
      <c r="L57" s="122">
        <f>SUMIFS('Sac Parça Detay'!$V$2:$V$544,'Sac Parça Detay'!$A$2:$A$544,A57)</f>
        <v>25.620277674</v>
      </c>
      <c r="M57" s="122">
        <f>SUMIFS('Sac Parça Detay'!$U$2:$U$544,'Sac Parça Detay'!$A$2:$A$544,A57)</f>
        <v>16.095809874</v>
      </c>
      <c r="N57" s="123">
        <f>SUMIFS('Sac Parça Detay'!$S$2:$S$544,'Sac Parça Detay'!$A$2:$A$544,A57)</f>
        <v>15.228502544072729</v>
      </c>
      <c r="O57" s="123">
        <f t="shared" si="5"/>
        <v>76.142512720363641</v>
      </c>
      <c r="P57" s="118">
        <v>0</v>
      </c>
      <c r="Q57" s="118"/>
      <c r="R57" s="124" t="str">
        <f>HYPERLINK("Sac_Maliyet\108523_sac_maliyet.html","aç")</f>
        <v>aç</v>
      </c>
      <c r="S57" s="118" t="s">
        <v>85</v>
      </c>
    </row>
    <row r="58" spans="1:22" ht="15" customHeight="1" x14ac:dyDescent="0.25">
      <c r="A58" s="125" t="s">
        <v>512</v>
      </c>
      <c r="B58" s="125" t="s">
        <v>206</v>
      </c>
      <c r="C58" s="125"/>
      <c r="D58" s="126">
        <v>56</v>
      </c>
      <c r="E58" s="125">
        <f>COUNTIFS('Sac Parça Detay'!$A$2:$A$544,A58)</f>
        <v>3</v>
      </c>
      <c r="F58" s="125">
        <f>SUMIFS('Sac Parça Detay'!$G$2:$G$544,'Sac Parça Detay'!$A$2:$A$544,A58)</f>
        <v>4</v>
      </c>
      <c r="G58" s="127">
        <f>SUMPRODUCT(('Sac Parça Detay'!$A$2:$A$544=A58)*'Sac Parça Detay'!$K$2:$K$544*'Sac Parça Detay'!$G$2:$G$544)</f>
        <v>7.3707000000000009E-2</v>
      </c>
      <c r="H58" s="127">
        <f>SUMPRODUCT(('Sac Parça Detay'!$A$2:$A$544=A58)*'Sac Parça Detay'!$M$2:$M$544*'Sac Parça Detay'!$G$2:$G$544)</f>
        <v>8.5816000000000003E-2</v>
      </c>
      <c r="I58" s="127">
        <f t="shared" si="3"/>
        <v>1.2108999999999995E-2</v>
      </c>
      <c r="J58" s="128">
        <f t="shared" si="4"/>
        <v>0.14110422298872</v>
      </c>
      <c r="K58" s="129">
        <f>SUMIFS('Sac Parça Detay'!$T$2:$T$544,'Sac Parça Detay'!$A$2:$A$544,A58)</f>
        <v>10.451018999999999</v>
      </c>
      <c r="L58" s="129">
        <f>SUMIFS('Sac Parça Detay'!$V$2:$V$544,'Sac Parça Detay'!$A$2:$A$544,A58)</f>
        <v>11.598155200000001</v>
      </c>
      <c r="M58" s="129">
        <f>SUMIFS('Sac Parça Detay'!$U$2:$U$544,'Sac Parça Detay'!$A$2:$A$544,A58)</f>
        <v>1.1471361999999996</v>
      </c>
      <c r="N58" s="130">
        <f>SUMIFS('Sac Parça Detay'!$S$2:$S$544,'Sac Parça Detay'!$A$2:$A$544,A58)</f>
        <v>8.9030977672727278</v>
      </c>
      <c r="O58" s="130">
        <f t="shared" si="5"/>
        <v>498.57347496727277</v>
      </c>
      <c r="P58" s="125">
        <v>0</v>
      </c>
      <c r="Q58" s="125"/>
      <c r="R58" s="131" t="str">
        <f>HYPERLINK("Sac_Maliyet\109023_sac_maliyet.html","aç")</f>
        <v>aç</v>
      </c>
      <c r="S58" s="125" t="s">
        <v>85</v>
      </c>
      <c r="T58" s="132">
        <v>11.07340086176</v>
      </c>
      <c r="U58" s="133">
        <f>N58-T58</f>
        <v>-2.1703030944872719</v>
      </c>
      <c r="V58" s="134" t="s">
        <v>1516</v>
      </c>
    </row>
    <row r="59" spans="1:22" ht="15" customHeight="1" x14ac:dyDescent="0.25">
      <c r="A59" s="118" t="s">
        <v>348</v>
      </c>
      <c r="B59" s="118" t="s">
        <v>348</v>
      </c>
      <c r="C59" s="118"/>
      <c r="D59" s="119">
        <v>10</v>
      </c>
      <c r="E59" s="118">
        <f>COUNTIFS('Sac Parça Detay'!$A$2:$A$544,A59)</f>
        <v>2</v>
      </c>
      <c r="F59" s="118">
        <f>SUMIFS('Sac Parça Detay'!$G$2:$G$544,'Sac Parça Detay'!$A$2:$A$544,A59)</f>
        <v>4</v>
      </c>
      <c r="G59" s="120">
        <f>SUMPRODUCT(('Sac Parça Detay'!$A$2:$A$544=A59)*'Sac Parça Detay'!$K$2:$K$544*'Sac Parça Detay'!$G$2:$G$544)</f>
        <v>0.10548399999999999</v>
      </c>
      <c r="H59" s="120">
        <f>SUMPRODUCT(('Sac Parça Detay'!$A$2:$A$544=A59)*'Sac Parça Detay'!$M$2:$M$544*'Sac Parça Detay'!$G$2:$G$544)</f>
        <v>0.11987819999999999</v>
      </c>
      <c r="I59" s="120">
        <f t="shared" si="3"/>
        <v>1.4394199999999996E-2</v>
      </c>
      <c r="J59" s="121">
        <f t="shared" si="4"/>
        <v>0.1200735413110974</v>
      </c>
      <c r="K59" s="122">
        <f>SUMIFS('Sac Parça Detay'!$T$2:$T$544,'Sac Parça Detay'!$A$2:$A$544,A59)</f>
        <v>8.2804939999999991</v>
      </c>
      <c r="L59" s="122">
        <f>SUMIFS('Sac Parça Detay'!$V$2:$V$544,'Sac Parça Detay'!$A$2:$A$544,A59)</f>
        <v>9.4104387000000003</v>
      </c>
      <c r="M59" s="122">
        <f>SUMIFS('Sac Parça Detay'!$U$2:$U$544,'Sac Parça Detay'!$A$2:$A$544,A59)</f>
        <v>1.1299447</v>
      </c>
      <c r="N59" s="123">
        <f>SUMIFS('Sac Parça Detay'!$S$2:$S$544,'Sac Parça Detay'!$A$2:$A$544,A59)</f>
        <v>7.1585508763636367</v>
      </c>
      <c r="O59" s="123">
        <f t="shared" si="5"/>
        <v>71.585508763636369</v>
      </c>
      <c r="P59" s="118">
        <v>0</v>
      </c>
      <c r="Q59" s="118"/>
      <c r="R59" s="124" t="str">
        <f>HYPERLINK("Sac_Maliyet\1098449_sac_maliyet.html","aç")</f>
        <v>aç</v>
      </c>
      <c r="S59" s="118" t="s">
        <v>85</v>
      </c>
    </row>
    <row r="60" spans="1:22" ht="15" customHeight="1" x14ac:dyDescent="0.25">
      <c r="A60" s="118" t="s">
        <v>531</v>
      </c>
      <c r="B60" s="118" t="s">
        <v>226</v>
      </c>
      <c r="C60" s="118"/>
      <c r="D60" s="119">
        <v>16</v>
      </c>
      <c r="E60" s="118">
        <f>COUNTIFS('Sac Parça Detay'!$A$2:$A$544,A60)</f>
        <v>3</v>
      </c>
      <c r="F60" s="118">
        <f>SUMIFS('Sac Parça Detay'!$G$2:$G$544,'Sac Parça Detay'!$A$2:$A$544,A60)</f>
        <v>4</v>
      </c>
      <c r="G60" s="120">
        <f>SUMPRODUCT(('Sac Parça Detay'!$A$2:$A$544=A60)*'Sac Parça Detay'!$K$2:$K$544*'Sac Parça Detay'!$G$2:$G$544)</f>
        <v>0.35304199999999997</v>
      </c>
      <c r="H60" s="120">
        <f>SUMPRODUCT(('Sac Parça Detay'!$A$2:$A$544=A60)*'Sac Parça Detay'!$M$2:$M$544*'Sac Parça Detay'!$G$2:$G$544)</f>
        <v>0.47321160000000001</v>
      </c>
      <c r="I60" s="120">
        <f t="shared" si="3"/>
        <v>0.12016960000000004</v>
      </c>
      <c r="J60" s="121">
        <f t="shared" si="4"/>
        <v>0.25394474691660146</v>
      </c>
      <c r="K60" s="122">
        <f>SUMIFS('Sac Parça Detay'!$T$2:$T$544,'Sac Parça Detay'!$A$2:$A$544,A60)</f>
        <v>8.4220451999999995</v>
      </c>
      <c r="L60" s="122">
        <f>SUMIFS('Sac Parça Detay'!$V$2:$V$544,'Sac Parça Detay'!$A$2:$A$544,A60)</f>
        <v>11.257173179999999</v>
      </c>
      <c r="M60" s="122">
        <f>SUMIFS('Sac Parça Detay'!$U$2:$U$544,'Sac Parça Detay'!$A$2:$A$544,A60)</f>
        <v>2.8351279799999998</v>
      </c>
      <c r="N60" s="123">
        <f>SUMIFS('Sac Parça Detay'!$S$2:$S$544,'Sac Parça Detay'!$A$2:$A$544,A60)</f>
        <v>8.0778784778181816</v>
      </c>
      <c r="O60" s="123">
        <f t="shared" si="5"/>
        <v>129.24605564509091</v>
      </c>
      <c r="P60" s="118">
        <v>8</v>
      </c>
      <c r="Q60" s="118"/>
      <c r="R60" s="124" t="str">
        <f>HYPERLINK("Sac_Maliyet\110067_sac_maliyet.html","aç")</f>
        <v>aç</v>
      </c>
      <c r="S60" s="118" t="s">
        <v>85</v>
      </c>
    </row>
    <row r="61" spans="1:22" ht="15" customHeight="1" x14ac:dyDescent="0.25">
      <c r="A61" s="118" t="s">
        <v>463</v>
      </c>
      <c r="B61" s="118" t="s">
        <v>135</v>
      </c>
      <c r="C61" s="118"/>
      <c r="D61" s="119">
        <v>14</v>
      </c>
      <c r="E61" s="118">
        <f>COUNTIFS('Sac Parça Detay'!$A$2:$A$544,A61)</f>
        <v>10</v>
      </c>
      <c r="F61" s="118">
        <f>SUMIFS('Sac Parça Detay'!$G$2:$G$544,'Sac Parça Detay'!$A$2:$A$544,A61)</f>
        <v>25</v>
      </c>
      <c r="G61" s="120">
        <f>SUMPRODUCT(('Sac Parça Detay'!$A$2:$A$544=A61)*'Sac Parça Detay'!$K$2:$K$544*'Sac Parça Detay'!$G$2:$G$544)</f>
        <v>2.4247659999999995</v>
      </c>
      <c r="H61" s="120">
        <f>SUMPRODUCT(('Sac Parça Detay'!$A$2:$A$544=A61)*'Sac Parça Detay'!$M$2:$M$544*'Sac Parça Detay'!$G$2:$G$544)</f>
        <v>2.76144268</v>
      </c>
      <c r="I61" s="120">
        <f t="shared" si="3"/>
        <v>0.33667668000000051</v>
      </c>
      <c r="J61" s="121">
        <f t="shared" si="4"/>
        <v>0.1219205752262801</v>
      </c>
      <c r="K61" s="122">
        <f>SUMIFS('Sac Parça Detay'!$T$2:$T$544,'Sac Parça Detay'!$A$2:$A$544,A61)</f>
        <v>79.313369899999998</v>
      </c>
      <c r="L61" s="122">
        <f>SUMIFS('Sac Parça Detay'!$V$2:$V$544,'Sac Parça Detay'!$A$2:$A$544,A61)</f>
        <v>97.758585235999988</v>
      </c>
      <c r="M61" s="122">
        <f>SUMIFS('Sac Parça Detay'!$U$2:$U$544,'Sac Parça Detay'!$A$2:$A$544,A61)</f>
        <v>18.445309536</v>
      </c>
      <c r="N61" s="123">
        <f>SUMIFS('Sac Parça Detay'!$S$2:$S$544,'Sac Parça Detay'!$A$2:$A$544,A61)</f>
        <v>72.170296791563658</v>
      </c>
      <c r="O61" s="123">
        <f t="shared" si="5"/>
        <v>1010.3841550818912</v>
      </c>
      <c r="P61" s="118">
        <v>0</v>
      </c>
      <c r="Q61" s="118" t="s">
        <v>1517</v>
      </c>
      <c r="R61" s="124" t="str">
        <f>HYPERLINK("Sac_Maliyet\112569_sac_maliyet.html","aç")</f>
        <v>aç</v>
      </c>
      <c r="S61" s="118" t="s">
        <v>85</v>
      </c>
    </row>
    <row r="62" spans="1:22" ht="15" customHeight="1" x14ac:dyDescent="0.25">
      <c r="A62" s="118" t="s">
        <v>467</v>
      </c>
      <c r="B62" s="118" t="s">
        <v>141</v>
      </c>
      <c r="C62" s="118" t="s">
        <v>142</v>
      </c>
      <c r="D62" s="119">
        <v>13</v>
      </c>
      <c r="E62" s="118">
        <f>COUNTIFS('Sac Parça Detay'!$A$2:$A$544,A62)</f>
        <v>7</v>
      </c>
      <c r="F62" s="118">
        <f>SUMIFS('Sac Parça Detay'!$G$2:$G$544,'Sac Parça Detay'!$A$2:$A$544,A62)</f>
        <v>8</v>
      </c>
      <c r="G62" s="120">
        <f>SUMPRODUCT(('Sac Parça Detay'!$A$2:$A$544=A62)*'Sac Parça Detay'!$K$2:$K$544*'Sac Parça Detay'!$G$2:$G$544)</f>
        <v>1.3347039999999999</v>
      </c>
      <c r="H62" s="120">
        <f>SUMPRODUCT(('Sac Parça Detay'!$A$2:$A$544=A62)*'Sac Parça Detay'!$M$2:$M$544*'Sac Parça Detay'!$G$2:$G$544)</f>
        <v>2.6379733999999999</v>
      </c>
      <c r="I62" s="120">
        <f t="shared" si="3"/>
        <v>1.3032694</v>
      </c>
      <c r="J62" s="121">
        <f t="shared" si="4"/>
        <v>0.4940419035309454</v>
      </c>
      <c r="K62" s="122">
        <f>SUMIFS('Sac Parça Detay'!$T$2:$T$544,'Sac Parça Detay'!$A$2:$A$544,A62)</f>
        <v>76.213012399999997</v>
      </c>
      <c r="L62" s="122">
        <f>SUMIFS('Sac Parça Detay'!$V$2:$V$544,'Sac Parça Detay'!$A$2:$A$544,A62)</f>
        <v>157.07329073999998</v>
      </c>
      <c r="M62" s="122">
        <f>SUMIFS('Sac Parça Detay'!$U$2:$U$544,'Sac Parça Detay'!$A$2:$A$544,A62)</f>
        <v>80.860278339999979</v>
      </c>
      <c r="N62" s="123">
        <f>SUMIFS('Sac Parça Detay'!$S$2:$S$544,'Sac Parça Detay'!$A$2:$A$544,A62)</f>
        <v>99.195268771636364</v>
      </c>
      <c r="O62" s="123">
        <f t="shared" si="5"/>
        <v>1289.5384940312726</v>
      </c>
      <c r="P62" s="118">
        <v>11</v>
      </c>
      <c r="Q62" s="118" t="s">
        <v>1518</v>
      </c>
      <c r="R62" s="124" t="str">
        <f>HYPERLINK("Sac_Maliyet\113467_sac_maliyet.html","aç")</f>
        <v>aç</v>
      </c>
      <c r="S62" s="118" t="s">
        <v>85</v>
      </c>
    </row>
    <row r="63" spans="1:22" ht="15" customHeight="1" x14ac:dyDescent="0.25">
      <c r="A63" s="135" t="s">
        <v>633</v>
      </c>
      <c r="B63" s="135" t="s">
        <v>368</v>
      </c>
      <c r="C63" s="135" t="s">
        <v>151</v>
      </c>
      <c r="D63" s="136">
        <v>1</v>
      </c>
      <c r="E63" s="135">
        <f>COUNTIFS('Sac Parça Detay'!$A$2:$A$544,A63)</f>
        <v>1</v>
      </c>
      <c r="F63" s="135">
        <f>SUMIFS('Sac Parça Detay'!$G$2:$G$544,'Sac Parça Detay'!$A$2:$A$544,A63)</f>
        <v>5</v>
      </c>
      <c r="G63" s="137">
        <f>SUMPRODUCT(('Sac Parça Detay'!$A$2:$A$544=A63)*'Sac Parça Detay'!$K$2:$K$544*'Sac Parça Detay'!$G$2:$G$544)</f>
        <v>4.0050000000000002E-2</v>
      </c>
      <c r="H63" s="137">
        <f>SUMPRODUCT(('Sac Parça Detay'!$A$2:$A$544=A63)*'Sac Parça Detay'!$M$2:$M$544*'Sac Parça Detay'!$G$2:$G$544)</f>
        <v>4.1999999999999996E-2</v>
      </c>
      <c r="I63" s="137">
        <f t="shared" si="3"/>
        <v>1.9499999999999934E-3</v>
      </c>
      <c r="J63" s="138">
        <f t="shared" si="4"/>
        <v>4.6428571428571278E-2</v>
      </c>
      <c r="K63" s="139">
        <f>SUMIFS('Sac Parça Detay'!$T$2:$T$544,'Sac Parça Detay'!$A$2:$A$544,A63)</f>
        <v>3.1439250000000003</v>
      </c>
      <c r="L63" s="139">
        <f>SUMIFS('Sac Parça Detay'!$V$2:$V$544,'Sac Parça Detay'!$A$2:$A$544,A63)</f>
        <v>3.2969999999999993</v>
      </c>
      <c r="M63" s="139">
        <f>SUMIFS('Sac Parça Detay'!$U$2:$U$544,'Sac Parça Detay'!$A$2:$A$544,A63)</f>
        <v>0.15307499999999988</v>
      </c>
      <c r="N63" s="140">
        <f>SUMIFS('Sac Parça Detay'!$S$2:$S$544,'Sac Parça Detay'!$A$2:$A$544,A63)</f>
        <v>2.5875027272727276</v>
      </c>
      <c r="O63" s="140">
        <f t="shared" si="5"/>
        <v>2.5875027272727276</v>
      </c>
      <c r="P63" s="135">
        <v>1</v>
      </c>
      <c r="Q63" s="135" t="s">
        <v>1519</v>
      </c>
      <c r="R63" s="135" t="s">
        <v>130</v>
      </c>
      <c r="S63" s="135" t="s">
        <v>1520</v>
      </c>
    </row>
    <row r="64" spans="1:22" ht="15" customHeight="1" x14ac:dyDescent="0.25">
      <c r="A64" s="135" t="s">
        <v>635</v>
      </c>
      <c r="B64" s="135" t="s">
        <v>372</v>
      </c>
      <c r="C64" s="135" t="s">
        <v>99</v>
      </c>
      <c r="D64" s="136">
        <v>5</v>
      </c>
      <c r="E64" s="135">
        <f>COUNTIFS('Sac Parça Detay'!$A$2:$A$544,A64)</f>
        <v>1</v>
      </c>
      <c r="F64" s="135">
        <f>SUMIFS('Sac Parça Detay'!$G$2:$G$544,'Sac Parça Detay'!$A$2:$A$544,A64)</f>
        <v>1</v>
      </c>
      <c r="G64" s="137">
        <f>SUMPRODUCT(('Sac Parça Detay'!$A$2:$A$544=A64)*'Sac Parça Detay'!$K$2:$K$544*'Sac Parça Detay'!$G$2:$G$544)</f>
        <v>2.5690000000000001E-2</v>
      </c>
      <c r="H64" s="137">
        <f>SUMPRODUCT(('Sac Parça Detay'!$A$2:$A$544=A64)*'Sac Parça Detay'!$M$2:$M$544*'Sac Parça Detay'!$G$2:$G$544)</f>
        <v>3.1329268292682927E-2</v>
      </c>
      <c r="I64" s="137">
        <f t="shared" si="3"/>
        <v>5.6392682926829259E-3</v>
      </c>
      <c r="J64" s="138">
        <f t="shared" si="4"/>
        <v>0.17999999999999997</v>
      </c>
      <c r="K64" s="139">
        <f>SUMIFS('Sac Parça Detay'!$T$2:$T$544,'Sac Parça Detay'!$A$2:$A$544,A64)</f>
        <v>1.209999</v>
      </c>
      <c r="L64" s="139">
        <f>SUMIFS('Sac Parça Detay'!$V$2:$V$544,'Sac Parça Detay'!$A$2:$A$544,A64)</f>
        <v>1.4756085365853657</v>
      </c>
      <c r="M64" s="139">
        <f>SUMIFS('Sac Parça Detay'!$U$2:$U$544,'Sac Parça Detay'!$A$2:$A$544,A64)</f>
        <v>0.26560953658536579</v>
      </c>
      <c r="N64" s="140">
        <f>SUMIFS('Sac Parça Detay'!$S$2:$S$544,'Sac Parça Detay'!$A$2:$A$544,A64)</f>
        <v>1.0935600718403546</v>
      </c>
      <c r="O64" s="140">
        <f t="shared" si="5"/>
        <v>5.4678003592017728</v>
      </c>
      <c r="P64" s="135">
        <v>42</v>
      </c>
      <c r="Q64" s="135" t="s">
        <v>1521</v>
      </c>
      <c r="R64" s="135" t="s">
        <v>130</v>
      </c>
      <c r="S64" s="135" t="s">
        <v>1520</v>
      </c>
    </row>
    <row r="65" spans="1:22" ht="15" customHeight="1" x14ac:dyDescent="0.25">
      <c r="A65" s="135" t="s">
        <v>468</v>
      </c>
      <c r="B65" s="135" t="s">
        <v>144</v>
      </c>
      <c r="C65" s="135" t="s">
        <v>139</v>
      </c>
      <c r="D65" s="136">
        <v>61</v>
      </c>
      <c r="E65" s="135">
        <f>COUNTIFS('Sac Parça Detay'!$A$2:$A$544,A65)</f>
        <v>2</v>
      </c>
      <c r="F65" s="135">
        <f>SUMIFS('Sac Parça Detay'!$G$2:$G$544,'Sac Parça Detay'!$A$2:$A$544,A65)</f>
        <v>3</v>
      </c>
      <c r="G65" s="137">
        <f>SUMPRODUCT(('Sac Parça Detay'!$A$2:$A$544=A65)*'Sac Parça Detay'!$K$2:$K$544*'Sac Parça Detay'!$G$2:$G$544)</f>
        <v>4.1458000000000002E-2</v>
      </c>
      <c r="H65" s="137">
        <f>SUMPRODUCT(('Sac Parça Detay'!$A$2:$A$544=A65)*'Sac Parça Detay'!$M$2:$M$544*'Sac Parça Detay'!$G$2:$G$544)</f>
        <v>5.0558536585365847E-2</v>
      </c>
      <c r="I65" s="137">
        <f t="shared" si="3"/>
        <v>9.1005365853658454E-3</v>
      </c>
      <c r="J65" s="138">
        <f t="shared" si="4"/>
        <v>0.17999999999999985</v>
      </c>
      <c r="K65" s="139">
        <f>SUMIFS('Sac Parça Detay'!$T$2:$T$544,'Sac Parça Detay'!$A$2:$A$544,A65)</f>
        <v>3.1439563999999995</v>
      </c>
      <c r="L65" s="139">
        <f>SUMIFS('Sac Parça Detay'!$V$2:$V$544,'Sac Parça Detay'!$A$2:$A$544,A65)</f>
        <v>3.8340931707317067</v>
      </c>
      <c r="M65" s="139">
        <f>SUMIFS('Sac Parça Detay'!$U$2:$U$544,'Sac Parça Detay'!$A$2:$A$544,A65)</f>
        <v>0.69013677073170698</v>
      </c>
      <c r="N65" s="140">
        <f>SUMIFS('Sac Parça Detay'!$S$2:$S$544,'Sac Parça Detay'!$A$2:$A$544,A65)</f>
        <v>2.8414115934368072</v>
      </c>
      <c r="O65" s="140">
        <f t="shared" si="5"/>
        <v>173.32610719964524</v>
      </c>
      <c r="P65" s="135">
        <v>2</v>
      </c>
      <c r="Q65" s="135" t="s">
        <v>1521</v>
      </c>
      <c r="R65" s="135" t="s">
        <v>130</v>
      </c>
      <c r="S65" s="135" t="s">
        <v>1520</v>
      </c>
    </row>
    <row r="66" spans="1:22" ht="15" customHeight="1" x14ac:dyDescent="0.25">
      <c r="A66" s="135" t="s">
        <v>462</v>
      </c>
      <c r="B66" s="135" t="s">
        <v>133</v>
      </c>
      <c r="C66" s="135" t="s">
        <v>84</v>
      </c>
      <c r="D66" s="136">
        <v>98</v>
      </c>
      <c r="E66" s="135">
        <f>COUNTIFS('Sac Parça Detay'!$A$2:$A$544,A66)</f>
        <v>3</v>
      </c>
      <c r="F66" s="135">
        <f>SUMIFS('Sac Parça Detay'!$G$2:$G$544,'Sac Parça Detay'!$A$2:$A$544,A66)</f>
        <v>5</v>
      </c>
      <c r="G66" s="137">
        <f>SUMPRODUCT(('Sac Parça Detay'!$A$2:$A$544=A66)*'Sac Parça Detay'!$K$2:$K$544*'Sac Parça Detay'!$G$2:$G$544)</f>
        <v>0.11805700000000001</v>
      </c>
      <c r="H66" s="137">
        <f>SUMPRODUCT(('Sac Parça Detay'!$A$2:$A$544=A66)*'Sac Parça Detay'!$M$2:$M$544*'Sac Parça Detay'!$G$2:$G$544)</f>
        <v>0.14927311508856533</v>
      </c>
      <c r="I66" s="137">
        <f t="shared" si="3"/>
        <v>3.1216115088565324E-2</v>
      </c>
      <c r="J66" s="138">
        <f t="shared" si="4"/>
        <v>0.20912081234483831</v>
      </c>
      <c r="K66" s="139">
        <f>SUMIFS('Sac Parça Detay'!$T$2:$T$544,'Sac Parça Detay'!$A$2:$A$544,A66)</f>
        <v>3.8829867999999998</v>
      </c>
      <c r="L66" s="139">
        <f>SUMIFS('Sac Parça Detay'!$V$2:$V$544,'Sac Parça Detay'!$A$2:$A$544,A66)</f>
        <v>4.9018063015858298</v>
      </c>
      <c r="M66" s="139">
        <f>SUMIFS('Sac Parça Detay'!$U$2:$U$544,'Sac Parça Detay'!$A$2:$A$544,A66)</f>
        <v>1.0188195015858295</v>
      </c>
      <c r="N66" s="140">
        <f>SUMIFS('Sac Parça Detay'!$S$2:$S$544,'Sac Parça Detay'!$A$2:$A$544,A66)</f>
        <v>3.5880132043860287</v>
      </c>
      <c r="O66" s="140">
        <f t="shared" si="5"/>
        <v>351.6252940298308</v>
      </c>
      <c r="P66" s="135">
        <v>1</v>
      </c>
      <c r="Q66" s="135" t="s">
        <v>1521</v>
      </c>
      <c r="R66" s="135" t="s">
        <v>130</v>
      </c>
      <c r="S66" s="135" t="s">
        <v>1520</v>
      </c>
    </row>
    <row r="67" spans="1:22" ht="15" customHeight="1" x14ac:dyDescent="0.25">
      <c r="A67" s="135" t="s">
        <v>594</v>
      </c>
      <c r="B67" s="135" t="s">
        <v>319</v>
      </c>
      <c r="C67" s="135" t="s">
        <v>84</v>
      </c>
      <c r="D67" s="136">
        <v>12</v>
      </c>
      <c r="E67" s="135">
        <f>COUNTIFS('Sac Parça Detay'!$A$2:$A$544,A67)</f>
        <v>3</v>
      </c>
      <c r="F67" s="135">
        <f>SUMIFS('Sac Parça Detay'!$G$2:$G$544,'Sac Parça Detay'!$A$2:$A$544,A67)</f>
        <v>5</v>
      </c>
      <c r="G67" s="137">
        <f>SUMPRODUCT(('Sac Parça Detay'!$A$2:$A$544=A67)*'Sac Parça Detay'!$K$2:$K$544*'Sac Parça Detay'!$G$2:$G$544)</f>
        <v>0.11805700000000001</v>
      </c>
      <c r="H67" s="137">
        <f>SUMPRODUCT(('Sac Parça Detay'!$A$2:$A$544=A67)*'Sac Parça Detay'!$M$2:$M$544*'Sac Parça Detay'!$G$2:$G$544)</f>
        <v>0.14927311508856533</v>
      </c>
      <c r="I67" s="137">
        <f t="shared" si="3"/>
        <v>3.1216115088565324E-2</v>
      </c>
      <c r="J67" s="138">
        <f t="shared" si="4"/>
        <v>0.20912081234483831</v>
      </c>
      <c r="K67" s="139">
        <f>SUMIFS('Sac Parça Detay'!$T$2:$T$544,'Sac Parça Detay'!$A$2:$A$544,A67)</f>
        <v>3.8829867999999998</v>
      </c>
      <c r="L67" s="139">
        <f>SUMIFS('Sac Parça Detay'!$V$2:$V$544,'Sac Parça Detay'!$A$2:$A$544,A67)</f>
        <v>4.9018063015858298</v>
      </c>
      <c r="M67" s="139">
        <f>SUMIFS('Sac Parça Detay'!$U$2:$U$544,'Sac Parça Detay'!$A$2:$A$544,A67)</f>
        <v>1.0188195015858295</v>
      </c>
      <c r="N67" s="140">
        <f>SUMIFS('Sac Parça Detay'!$S$2:$S$544,'Sac Parça Detay'!$A$2:$A$544,A67)</f>
        <v>3.5880132043860287</v>
      </c>
      <c r="O67" s="140">
        <f t="shared" si="5"/>
        <v>43.056158452632346</v>
      </c>
      <c r="P67" s="135">
        <v>1</v>
      </c>
      <c r="Q67" s="135" t="s">
        <v>1521</v>
      </c>
      <c r="R67" s="135" t="s">
        <v>130</v>
      </c>
      <c r="S67" s="135" t="s">
        <v>1520</v>
      </c>
    </row>
    <row r="68" spans="1:22" ht="15" customHeight="1" x14ac:dyDescent="0.25">
      <c r="A68" s="135" t="s">
        <v>487</v>
      </c>
      <c r="B68" s="135" t="s">
        <v>169</v>
      </c>
      <c r="C68" s="135" t="s">
        <v>148</v>
      </c>
      <c r="D68" s="136">
        <v>37</v>
      </c>
      <c r="E68" s="135">
        <f>COUNTIFS('Sac Parça Detay'!$A$2:$A$544,A68)</f>
        <v>6</v>
      </c>
      <c r="F68" s="135">
        <f>SUMIFS('Sac Parça Detay'!$G$2:$G$544,'Sac Parça Detay'!$A$2:$A$544,A68)</f>
        <v>7</v>
      </c>
      <c r="G68" s="137">
        <f>SUMPRODUCT(('Sac Parça Detay'!$A$2:$A$544=A68)*'Sac Parça Detay'!$K$2:$K$544*'Sac Parça Detay'!$G$2:$G$544)</f>
        <v>9.7909999999999997E-2</v>
      </c>
      <c r="H68" s="137">
        <f>SUMPRODUCT(('Sac Parça Detay'!$A$2:$A$544=A68)*'Sac Parça Detay'!$M$2:$M$544*'Sac Parça Detay'!$G$2:$G$544)</f>
        <v>0.11979409564437848</v>
      </c>
      <c r="I68" s="137">
        <f t="shared" si="3"/>
        <v>2.1884095644378487E-2</v>
      </c>
      <c r="J68" s="138">
        <f t="shared" si="4"/>
        <v>0.18268092034638964</v>
      </c>
      <c r="K68" s="139">
        <f>SUMIFS('Sac Parça Detay'!$T$2:$T$544,'Sac Parça Detay'!$A$2:$A$544,A68)</f>
        <v>4.7659547999999994</v>
      </c>
      <c r="L68" s="139">
        <f>SUMIFS('Sac Parça Detay'!$V$2:$V$544,'Sac Parça Detay'!$A$2:$A$544,A68)</f>
        <v>5.830587026801445</v>
      </c>
      <c r="M68" s="139">
        <f>SUMIFS('Sac Parça Detay'!$U$2:$U$544,'Sac Parça Detay'!$A$2:$A$544,A68)</f>
        <v>1.0646322268014461</v>
      </c>
      <c r="N68" s="140">
        <f>SUMIFS('Sac Parça Detay'!$S$2:$S$544,'Sac Parça Detay'!$A$2:$A$544,A68)</f>
        <v>4.3160445290334115</v>
      </c>
      <c r="O68" s="140">
        <f t="shared" si="5"/>
        <v>159.69364757423622</v>
      </c>
      <c r="P68" s="135">
        <v>1</v>
      </c>
      <c r="Q68" s="135" t="s">
        <v>1521</v>
      </c>
      <c r="R68" s="135" t="s">
        <v>130</v>
      </c>
      <c r="S68" s="135" t="s">
        <v>1520</v>
      </c>
    </row>
    <row r="69" spans="1:22" ht="15" customHeight="1" x14ac:dyDescent="0.25">
      <c r="A69" s="135" t="s">
        <v>488</v>
      </c>
      <c r="B69" s="135" t="s">
        <v>171</v>
      </c>
      <c r="C69" s="135" t="s">
        <v>148</v>
      </c>
      <c r="D69" s="136">
        <v>37</v>
      </c>
      <c r="E69" s="135">
        <f>COUNTIFS('Sac Parça Detay'!$A$2:$A$544,A69)</f>
        <v>6</v>
      </c>
      <c r="F69" s="135">
        <f>SUMIFS('Sac Parça Detay'!$G$2:$G$544,'Sac Parça Detay'!$A$2:$A$544,A69)</f>
        <v>7</v>
      </c>
      <c r="G69" s="137">
        <f>SUMPRODUCT(('Sac Parça Detay'!$A$2:$A$544=A69)*'Sac Parça Detay'!$K$2:$K$544*'Sac Parça Detay'!$G$2:$G$544)</f>
        <v>9.7909999999999997E-2</v>
      </c>
      <c r="H69" s="137">
        <f>SUMPRODUCT(('Sac Parça Detay'!$A$2:$A$544=A69)*'Sac Parça Detay'!$M$2:$M$544*'Sac Parça Detay'!$G$2:$G$544)</f>
        <v>0.11979409564437848</v>
      </c>
      <c r="I69" s="137">
        <f t="shared" ref="I69:I100" si="6">H69-G69</f>
        <v>2.1884095644378487E-2</v>
      </c>
      <c r="J69" s="138">
        <f t="shared" ref="J69:J100" si="7">IF(H69=0,0,I69/H69)</f>
        <v>0.18268092034638964</v>
      </c>
      <c r="K69" s="139">
        <f>SUMIFS('Sac Parça Detay'!$T$2:$T$544,'Sac Parça Detay'!$A$2:$A$544,A69)</f>
        <v>4.7659547999999994</v>
      </c>
      <c r="L69" s="139">
        <f>SUMIFS('Sac Parça Detay'!$V$2:$V$544,'Sac Parça Detay'!$A$2:$A$544,A69)</f>
        <v>5.830587026801445</v>
      </c>
      <c r="M69" s="139">
        <f>SUMIFS('Sac Parça Detay'!$U$2:$U$544,'Sac Parça Detay'!$A$2:$A$544,A69)</f>
        <v>1.0646322268014461</v>
      </c>
      <c r="N69" s="140">
        <f>SUMIFS('Sac Parça Detay'!$S$2:$S$544,'Sac Parça Detay'!$A$2:$A$544,A69)</f>
        <v>4.3160445290334115</v>
      </c>
      <c r="O69" s="140">
        <f t="shared" ref="O69:O100" si="8">N69*D69</f>
        <v>159.69364757423622</v>
      </c>
      <c r="P69" s="135">
        <v>1</v>
      </c>
      <c r="Q69" s="135" t="s">
        <v>1521</v>
      </c>
      <c r="R69" s="135" t="s">
        <v>130</v>
      </c>
      <c r="S69" s="135" t="s">
        <v>1520</v>
      </c>
    </row>
    <row r="70" spans="1:22" ht="15" customHeight="1" x14ac:dyDescent="0.25">
      <c r="A70" s="135" t="s">
        <v>577</v>
      </c>
      <c r="B70" s="135" t="s">
        <v>293</v>
      </c>
      <c r="C70" s="135" t="s">
        <v>151</v>
      </c>
      <c r="D70" s="136">
        <v>2</v>
      </c>
      <c r="E70" s="135">
        <f>COUNTIFS('Sac Parça Detay'!$A$2:$A$544,A70)</f>
        <v>2</v>
      </c>
      <c r="F70" s="135">
        <f>SUMIFS('Sac Parça Detay'!$G$2:$G$544,'Sac Parça Detay'!$A$2:$A$544,A70)</f>
        <v>2</v>
      </c>
      <c r="G70" s="137">
        <f>SUMPRODUCT(('Sac Parça Detay'!$A$2:$A$544=A70)*'Sac Parça Detay'!$K$2:$K$544*'Sac Parça Detay'!$G$2:$G$544)</f>
        <v>3.7048999999999999E-2</v>
      </c>
      <c r="H70" s="137">
        <f>SUMPRODUCT(('Sac Parça Detay'!$A$2:$A$544=A70)*'Sac Parça Detay'!$M$2:$M$544*'Sac Parça Detay'!$G$2:$G$544)</f>
        <v>4.5181707317073168E-2</v>
      </c>
      <c r="I70" s="137">
        <f t="shared" si="6"/>
        <v>8.1327073170731692E-3</v>
      </c>
      <c r="J70" s="138">
        <f t="shared" si="7"/>
        <v>0.17999999999999997</v>
      </c>
      <c r="K70" s="139">
        <f>SUMIFS('Sac Parça Detay'!$T$2:$T$544,'Sac Parça Detay'!$A$2:$A$544,A70)</f>
        <v>5.1400386999999998</v>
      </c>
      <c r="L70" s="139">
        <f>SUMIFS('Sac Parça Detay'!$V$2:$V$544,'Sac Parça Detay'!$A$2:$A$544,A70)</f>
        <v>6.2683398780487796</v>
      </c>
      <c r="M70" s="139">
        <f>SUMIFS('Sac Parça Detay'!$U$2:$U$544,'Sac Parça Detay'!$A$2:$A$544,A70)</f>
        <v>1.1283011780487795</v>
      </c>
      <c r="N70" s="140">
        <f>SUMIFS('Sac Parça Detay'!$S$2:$S$544,'Sac Parça Detay'!$A$2:$A$544,A70)</f>
        <v>4.6454096987139692</v>
      </c>
      <c r="O70" s="140">
        <f t="shared" si="8"/>
        <v>9.2908193974279385</v>
      </c>
      <c r="P70" s="135">
        <v>2</v>
      </c>
      <c r="Q70" s="135" t="s">
        <v>1521</v>
      </c>
      <c r="R70" s="135" t="s">
        <v>130</v>
      </c>
      <c r="S70" s="135" t="s">
        <v>1520</v>
      </c>
    </row>
    <row r="71" spans="1:22" ht="15" customHeight="1" x14ac:dyDescent="0.25">
      <c r="A71" s="135" t="s">
        <v>489</v>
      </c>
      <c r="B71" s="135" t="s">
        <v>172</v>
      </c>
      <c r="C71" s="135" t="s">
        <v>156</v>
      </c>
      <c r="D71" s="136">
        <v>29</v>
      </c>
      <c r="E71" s="135">
        <f>COUNTIFS('Sac Parça Detay'!$A$2:$A$544,A71)</f>
        <v>3</v>
      </c>
      <c r="F71" s="135">
        <f>SUMIFS('Sac Parça Detay'!$G$2:$G$544,'Sac Parça Detay'!$A$2:$A$544,A71)</f>
        <v>5</v>
      </c>
      <c r="G71" s="137">
        <f>SUMPRODUCT(('Sac Parça Detay'!$A$2:$A$544=A71)*'Sac Parça Detay'!$K$2:$K$544*'Sac Parça Detay'!$G$2:$G$544)</f>
        <v>0.12024800000000001</v>
      </c>
      <c r="H71" s="137">
        <f>SUMPRODUCT(('Sac Parça Detay'!$A$2:$A$544=A71)*'Sac Parça Detay'!$M$2:$M$544*'Sac Parça Detay'!$G$2:$G$544)</f>
        <v>0.15194506630807753</v>
      </c>
      <c r="I71" s="137">
        <f t="shared" si="6"/>
        <v>3.1697066308077518E-2</v>
      </c>
      <c r="J71" s="138">
        <f t="shared" si="7"/>
        <v>0.20860872339092509</v>
      </c>
      <c r="K71" s="139">
        <f>SUMIFS('Sac Parça Detay'!$T$2:$T$544,'Sac Parça Detay'!$A$2:$A$544,A71)</f>
        <v>4.1429787999999999</v>
      </c>
      <c r="L71" s="139">
        <f>SUMIFS('Sac Parça Detay'!$V$2:$V$544,'Sac Parça Detay'!$A$2:$A$544,A71)</f>
        <v>5.2188697162199764</v>
      </c>
      <c r="M71" s="139">
        <f>SUMIFS('Sac Parça Detay'!$U$2:$U$544,'Sac Parça Detay'!$A$2:$A$544,A71)</f>
        <v>1.0758909162199757</v>
      </c>
      <c r="N71" s="140">
        <f>SUMIFS('Sac Parça Detay'!$S$2:$S$544,'Sac Parça Detay'!$A$2:$A$544,A71)</f>
        <v>3.8229860185767159</v>
      </c>
      <c r="O71" s="140">
        <f t="shared" si="8"/>
        <v>110.86659453872477</v>
      </c>
      <c r="P71" s="135">
        <v>1</v>
      </c>
      <c r="Q71" s="135" t="s">
        <v>1521</v>
      </c>
      <c r="R71" s="135" t="s">
        <v>130</v>
      </c>
      <c r="S71" s="135" t="s">
        <v>1520</v>
      </c>
    </row>
    <row r="72" spans="1:22" ht="15" customHeight="1" x14ac:dyDescent="0.25">
      <c r="A72" s="135" t="s">
        <v>526</v>
      </c>
      <c r="B72" s="135" t="s">
        <v>221</v>
      </c>
      <c r="C72" s="135" t="s">
        <v>194</v>
      </c>
      <c r="D72" s="136">
        <v>10</v>
      </c>
      <c r="E72" s="135">
        <f>COUNTIFS('Sac Parça Detay'!$A$2:$A$544,A72)</f>
        <v>4</v>
      </c>
      <c r="F72" s="135">
        <f>SUMIFS('Sac Parça Detay'!$G$2:$G$544,'Sac Parça Detay'!$A$2:$A$544,A72)</f>
        <v>5</v>
      </c>
      <c r="G72" s="137">
        <f>SUMPRODUCT(('Sac Parça Detay'!$A$2:$A$544=A72)*'Sac Parça Detay'!$K$2:$K$544*'Sac Parça Detay'!$G$2:$G$544)</f>
        <v>0.11838499999999999</v>
      </c>
      <c r="H72" s="137">
        <f>SUMPRODUCT(('Sac Parça Detay'!$A$2:$A$544=A72)*'Sac Parça Detay'!$M$2:$M$544*'Sac Parça Detay'!$G$2:$G$544)</f>
        <v>0.14877964542953412</v>
      </c>
      <c r="I72" s="137">
        <f t="shared" si="6"/>
        <v>3.0394645429534128E-2</v>
      </c>
      <c r="J72" s="138">
        <f t="shared" si="7"/>
        <v>0.204293035796552</v>
      </c>
      <c r="K72" s="139">
        <f>SUMIFS('Sac Parça Detay'!$T$2:$T$544,'Sac Parça Detay'!$A$2:$A$544,A72)</f>
        <v>6.8129757499999988</v>
      </c>
      <c r="L72" s="139">
        <f>SUMIFS('Sac Parça Detay'!$V$2:$V$544,'Sac Parça Detay'!$A$2:$A$544,A72)</f>
        <v>8.5853102085844988</v>
      </c>
      <c r="M72" s="139">
        <f>SUMIFS('Sac Parça Detay'!$U$2:$U$544,'Sac Parça Detay'!$A$2:$A$544,A72)</f>
        <v>1.7723344585844996</v>
      </c>
      <c r="N72" s="140">
        <f>SUMIFS('Sac Parça Detay'!$S$2:$S$544,'Sac Parça Detay'!$A$2:$A$544,A72)</f>
        <v>6.2882114349672182</v>
      </c>
      <c r="O72" s="140">
        <f t="shared" si="8"/>
        <v>62.882114349672179</v>
      </c>
      <c r="P72" s="135">
        <v>0</v>
      </c>
      <c r="Q72" s="135" t="s">
        <v>1521</v>
      </c>
      <c r="R72" s="135" t="s">
        <v>130</v>
      </c>
      <c r="S72" s="135" t="s">
        <v>1520</v>
      </c>
    </row>
    <row r="73" spans="1:22" ht="15" customHeight="1" x14ac:dyDescent="0.25">
      <c r="A73" s="125" t="s">
        <v>620</v>
      </c>
      <c r="B73" s="125" t="s">
        <v>354</v>
      </c>
      <c r="C73" s="125" t="s">
        <v>139</v>
      </c>
      <c r="D73" s="126">
        <v>10</v>
      </c>
      <c r="E73" s="125">
        <f>COUNTIFS('Sac Parça Detay'!$A$2:$A$544,A73)</f>
        <v>1</v>
      </c>
      <c r="F73" s="125">
        <f>SUMIFS('Sac Parça Detay'!$G$2:$G$544,'Sac Parça Detay'!$A$2:$A$544,A73)</f>
        <v>1</v>
      </c>
      <c r="G73" s="127">
        <f>SUMPRODUCT(('Sac Parça Detay'!$A$2:$A$544=A73)*'Sac Parça Detay'!$K$2:$K$544*'Sac Parça Detay'!$G$2:$G$544)</f>
        <v>2.9770000000000001E-2</v>
      </c>
      <c r="H73" s="127">
        <f>SUMPRODUCT(('Sac Parça Detay'!$A$2:$A$544=A73)*'Sac Parça Detay'!$M$2:$M$544*'Sac Parça Detay'!$G$2:$G$544)</f>
        <v>3.0800000000000001E-2</v>
      </c>
      <c r="I73" s="127">
        <f t="shared" si="6"/>
        <v>1.0299999999999997E-3</v>
      </c>
      <c r="J73" s="128">
        <f t="shared" si="7"/>
        <v>3.3441558441558432E-2</v>
      </c>
      <c r="K73" s="129">
        <f>SUMIFS('Sac Parça Detay'!$T$2:$T$544,'Sac Parça Detay'!$A$2:$A$544,A73)</f>
        <v>2.8043339999999999</v>
      </c>
      <c r="L73" s="129">
        <f>SUMIFS('Sac Parça Detay'!$V$2:$V$544,'Sac Parça Detay'!$A$2:$A$544,A73)</f>
        <v>2.9013600000000004</v>
      </c>
      <c r="M73" s="129">
        <f>SUMIFS('Sac Parça Detay'!$U$2:$U$544,'Sac Parça Detay'!$A$2:$A$544,A73)</f>
        <v>9.7025999999999959E-2</v>
      </c>
      <c r="N73" s="130">
        <f>SUMIFS('Sac Parça Detay'!$S$2:$S$544,'Sac Parça Detay'!$A$2:$A$544,A73)</f>
        <v>2.2893340363636363</v>
      </c>
      <c r="O73" s="130">
        <f t="shared" si="8"/>
        <v>22.893340363636362</v>
      </c>
      <c r="P73" s="125">
        <v>1</v>
      </c>
      <c r="Q73" s="125" t="s">
        <v>1521</v>
      </c>
      <c r="R73" s="125" t="s">
        <v>130</v>
      </c>
      <c r="S73" s="125" t="s">
        <v>1520</v>
      </c>
      <c r="T73" s="132">
        <v>3.2159000217951199</v>
      </c>
      <c r="U73" s="133">
        <f>N73-T73</f>
        <v>-0.92656598543148361</v>
      </c>
      <c r="V73" s="134" t="s">
        <v>1522</v>
      </c>
    </row>
    <row r="74" spans="1:22" ht="15" customHeight="1" x14ac:dyDescent="0.25">
      <c r="A74" s="135" t="s">
        <v>530</v>
      </c>
      <c r="B74" s="135" t="s">
        <v>225</v>
      </c>
      <c r="C74" s="135" t="s">
        <v>194</v>
      </c>
      <c r="D74" s="136">
        <v>13</v>
      </c>
      <c r="E74" s="135">
        <f>COUNTIFS('Sac Parça Detay'!$A$2:$A$544,A74)</f>
        <v>2</v>
      </c>
      <c r="F74" s="135">
        <f>SUMIFS('Sac Parça Detay'!$G$2:$G$544,'Sac Parça Detay'!$A$2:$A$544,A74)</f>
        <v>2</v>
      </c>
      <c r="G74" s="137">
        <f>SUMPRODUCT(('Sac Parça Detay'!$A$2:$A$544=A74)*'Sac Parça Detay'!$K$2:$K$544*'Sac Parça Detay'!$G$2:$G$544)</f>
        <v>0.10519100000000001</v>
      </c>
      <c r="H74" s="137">
        <f>SUMPRODUCT(('Sac Parça Detay'!$A$2:$A$544=A74)*'Sac Parça Detay'!$M$2:$M$544*'Sac Parça Detay'!$G$2:$G$544)</f>
        <v>0.1323369393180624</v>
      </c>
      <c r="I74" s="137">
        <f t="shared" si="6"/>
        <v>2.714593931806239E-2</v>
      </c>
      <c r="J74" s="138">
        <f t="shared" si="7"/>
        <v>0.20512745313550784</v>
      </c>
      <c r="K74" s="139">
        <f>SUMIFS('Sac Parça Detay'!$T$2:$T$544,'Sac Parça Detay'!$A$2:$A$544,A74)</f>
        <v>6.6059947999999995</v>
      </c>
      <c r="L74" s="139">
        <f>SUMIFS('Sac Parça Detay'!$V$2:$V$544,'Sac Parça Detay'!$A$2:$A$544,A74)</f>
        <v>8.3107597891743179</v>
      </c>
      <c r="M74" s="139">
        <f>SUMIFS('Sac Parça Detay'!$U$2:$U$544,'Sac Parça Detay'!$A$2:$A$544,A74)</f>
        <v>1.7047649891743177</v>
      </c>
      <c r="N74" s="140">
        <f>SUMIFS('Sac Parça Detay'!$S$2:$S$544,'Sac Parça Detay'!$A$2:$A$544,A74)</f>
        <v>6.0906847439733145</v>
      </c>
      <c r="O74" s="140">
        <f t="shared" si="8"/>
        <v>79.178901671653094</v>
      </c>
      <c r="P74" s="135">
        <v>0</v>
      </c>
      <c r="Q74" s="135" t="s">
        <v>1521</v>
      </c>
      <c r="R74" s="135" t="s">
        <v>130</v>
      </c>
      <c r="S74" s="135" t="s">
        <v>1520</v>
      </c>
    </row>
    <row r="75" spans="1:22" ht="15" customHeight="1" x14ac:dyDescent="0.25">
      <c r="A75" s="135" t="s">
        <v>578</v>
      </c>
      <c r="B75" s="135" t="s">
        <v>295</v>
      </c>
      <c r="C75" s="135" t="s">
        <v>99</v>
      </c>
      <c r="D75" s="136">
        <v>1</v>
      </c>
      <c r="E75" s="135">
        <f>COUNTIFS('Sac Parça Detay'!$A$2:$A$544,A75)</f>
        <v>5</v>
      </c>
      <c r="F75" s="135">
        <f>SUMIFS('Sac Parça Detay'!$G$2:$G$544,'Sac Parça Detay'!$A$2:$A$544,A75)</f>
        <v>6</v>
      </c>
      <c r="G75" s="137">
        <f>SUMPRODUCT(('Sac Parça Detay'!$A$2:$A$544=A75)*'Sac Parça Detay'!$K$2:$K$544*'Sac Parça Detay'!$G$2:$G$544)</f>
        <v>0.123087</v>
      </c>
      <c r="H75" s="137">
        <f>SUMPRODUCT(('Sac Parça Detay'!$A$2:$A$544=A75)*'Sac Parça Detay'!$M$2:$M$544*'Sac Parça Detay'!$G$2:$G$544)</f>
        <v>0.15010609756097559</v>
      </c>
      <c r="I75" s="137">
        <f t="shared" si="6"/>
        <v>2.7019097560975591E-2</v>
      </c>
      <c r="J75" s="138">
        <f t="shared" si="7"/>
        <v>0.17999999999999991</v>
      </c>
      <c r="K75" s="139">
        <f>SUMIFS('Sac Parça Detay'!$T$2:$T$544,'Sac Parça Detay'!$A$2:$A$544,A75)</f>
        <v>6.3349970999999998</v>
      </c>
      <c r="L75" s="139">
        <f>SUMIFS('Sac Parça Detay'!$V$2:$V$544,'Sac Parça Detay'!$A$2:$A$544,A75)</f>
        <v>7.7256062195121942</v>
      </c>
      <c r="M75" s="139">
        <f>SUMIFS('Sac Parça Detay'!$U$2:$U$544,'Sac Parça Detay'!$A$2:$A$544,A75)</f>
        <v>1.3906091195121948</v>
      </c>
      <c r="N75" s="140">
        <f>SUMIFS('Sac Parça Detay'!$S$2:$S$544,'Sac Parça Detay'!$A$2:$A$544,A75)</f>
        <v>5.7253765364966744</v>
      </c>
      <c r="O75" s="140">
        <f t="shared" si="8"/>
        <v>5.7253765364966744</v>
      </c>
      <c r="P75" s="135">
        <v>1</v>
      </c>
      <c r="Q75" s="135" t="s">
        <v>1521</v>
      </c>
      <c r="R75" s="135" t="s">
        <v>130</v>
      </c>
      <c r="S75" s="135" t="s">
        <v>1520</v>
      </c>
    </row>
    <row r="76" spans="1:22" ht="15" customHeight="1" x14ac:dyDescent="0.25">
      <c r="A76" s="135" t="s">
        <v>587</v>
      </c>
      <c r="B76" s="135" t="s">
        <v>309</v>
      </c>
      <c r="C76" s="135" t="s">
        <v>113</v>
      </c>
      <c r="D76" s="136">
        <v>1</v>
      </c>
      <c r="E76" s="135">
        <f>COUNTIFS('Sac Parça Detay'!$A$2:$A$544,A76)</f>
        <v>2</v>
      </c>
      <c r="F76" s="135">
        <f>SUMIFS('Sac Parça Detay'!$G$2:$G$544,'Sac Parça Detay'!$A$2:$A$544,A76)</f>
        <v>3</v>
      </c>
      <c r="G76" s="137">
        <f>SUMPRODUCT(('Sac Parça Detay'!$A$2:$A$544=A76)*'Sac Parça Detay'!$K$2:$K$544*'Sac Parça Detay'!$G$2:$G$544)</f>
        <v>0.13881099999999999</v>
      </c>
      <c r="H76" s="137">
        <f>SUMPRODUCT(('Sac Parça Detay'!$A$2:$A$544=A76)*'Sac Parça Detay'!$M$2:$M$544*'Sac Parça Detay'!$G$2:$G$544)</f>
        <v>0.17511491854462269</v>
      </c>
      <c r="I76" s="137">
        <f t="shared" si="6"/>
        <v>3.6303918544622699E-2</v>
      </c>
      <c r="J76" s="138">
        <f t="shared" si="7"/>
        <v>0.20731482415287053</v>
      </c>
      <c r="K76" s="139">
        <f>SUMIFS('Sac Parça Detay'!$T$2:$T$544,'Sac Parça Detay'!$A$2:$A$544,A76)</f>
        <v>6.5379981000000003</v>
      </c>
      <c r="L76" s="139">
        <f>SUMIFS('Sac Parça Detay'!$V$2:$V$544,'Sac Parça Detay'!$A$2:$A$544,A76)</f>
        <v>8.2479126634517286</v>
      </c>
      <c r="M76" s="139">
        <f>SUMIFS('Sac Parça Detay'!$U$2:$U$544,'Sac Parça Detay'!$A$2:$A$544,A76)</f>
        <v>1.709914563451729</v>
      </c>
      <c r="N76" s="140">
        <f>SUMIFS('Sac Parça Detay'!$S$2:$S$544,'Sac Parça Detay'!$A$2:$A$544,A76)</f>
        <v>6.0387217281771814</v>
      </c>
      <c r="O76" s="140">
        <f t="shared" si="8"/>
        <v>6.0387217281771814</v>
      </c>
      <c r="P76" s="135">
        <v>0</v>
      </c>
      <c r="Q76" s="135" t="s">
        <v>1521</v>
      </c>
      <c r="R76" s="135" t="s">
        <v>130</v>
      </c>
      <c r="S76" s="135" t="s">
        <v>1520</v>
      </c>
    </row>
    <row r="77" spans="1:22" ht="15" customHeight="1" x14ac:dyDescent="0.25">
      <c r="A77" s="135" t="s">
        <v>565</v>
      </c>
      <c r="B77" s="135" t="s">
        <v>276</v>
      </c>
      <c r="C77" s="135" t="s">
        <v>107</v>
      </c>
      <c r="D77" s="136">
        <v>5</v>
      </c>
      <c r="E77" s="135">
        <f>COUNTIFS('Sac Parça Detay'!$A$2:$A$544,A77)</f>
        <v>1</v>
      </c>
      <c r="F77" s="135">
        <f>SUMIFS('Sac Parça Detay'!$G$2:$G$544,'Sac Parça Detay'!$A$2:$A$544,A77)</f>
        <v>1</v>
      </c>
      <c r="G77" s="137">
        <f>SUMPRODUCT(('Sac Parça Detay'!$A$2:$A$544=A77)*'Sac Parça Detay'!$K$2:$K$544*'Sac Parça Detay'!$G$2:$G$544)</f>
        <v>9.6659999999999992E-3</v>
      </c>
      <c r="H77" s="137">
        <f>SUMPRODUCT(('Sac Parça Detay'!$A$2:$A$544=A77)*'Sac Parça Detay'!$M$2:$M$544*'Sac Parça Detay'!$G$2:$G$544)</f>
        <v>1.1787804878048778E-2</v>
      </c>
      <c r="I77" s="137">
        <f t="shared" si="6"/>
        <v>2.1218048780487792E-3</v>
      </c>
      <c r="J77" s="138">
        <f t="shared" si="7"/>
        <v>0.17999999999999991</v>
      </c>
      <c r="K77" s="139">
        <f>SUMIFS('Sac Parça Detay'!$T$2:$T$544,'Sac Parça Detay'!$A$2:$A$544,A77)</f>
        <v>0.60702479999999992</v>
      </c>
      <c r="L77" s="139">
        <f>SUMIFS('Sac Parça Detay'!$V$2:$V$544,'Sac Parça Detay'!$A$2:$A$544,A77)</f>
        <v>0.74027414634146327</v>
      </c>
      <c r="M77" s="139">
        <f>SUMIFS('Sac Parça Detay'!$U$2:$U$544,'Sac Parça Detay'!$A$2:$A$544,A77)</f>
        <v>0.13324934634146332</v>
      </c>
      <c r="N77" s="140">
        <f>SUMIFS('Sac Parça Detay'!$S$2:$S$544,'Sac Parça Detay'!$A$2:$A$544,A77)</f>
        <v>0.54861044008869175</v>
      </c>
      <c r="O77" s="140">
        <f t="shared" si="8"/>
        <v>2.7430522004434588</v>
      </c>
      <c r="P77" s="135">
        <v>2</v>
      </c>
      <c r="Q77" s="135" t="s">
        <v>1521</v>
      </c>
      <c r="R77" s="135" t="s">
        <v>130</v>
      </c>
      <c r="S77" s="135" t="s">
        <v>1520</v>
      </c>
    </row>
    <row r="78" spans="1:22" ht="15" customHeight="1" x14ac:dyDescent="0.25">
      <c r="A78" s="125" t="s">
        <v>609</v>
      </c>
      <c r="B78" s="125" t="s">
        <v>337</v>
      </c>
      <c r="C78" s="125" t="s">
        <v>139</v>
      </c>
      <c r="D78" s="126">
        <v>10</v>
      </c>
      <c r="E78" s="125">
        <f>COUNTIFS('Sac Parça Detay'!$A$2:$A$544,A78)</f>
        <v>1</v>
      </c>
      <c r="F78" s="125">
        <f>SUMIFS('Sac Parça Detay'!$G$2:$G$544,'Sac Parça Detay'!$A$2:$A$544,A78)</f>
        <v>1</v>
      </c>
      <c r="G78" s="127">
        <f>SUMPRODUCT(('Sac Parça Detay'!$A$2:$A$544=A78)*'Sac Parça Detay'!$K$2:$K$544*'Sac Parça Detay'!$G$2:$G$544)</f>
        <v>0.16223099999999999</v>
      </c>
      <c r="H78" s="127">
        <f>SUMPRODUCT(('Sac Parça Detay'!$A$2:$A$544=A78)*'Sac Parça Detay'!$M$2:$M$544*'Sac Parça Detay'!$G$2:$G$544)</f>
        <v>0.16322600000000001</v>
      </c>
      <c r="I78" s="127">
        <f t="shared" si="6"/>
        <v>9.9500000000002364E-4</v>
      </c>
      <c r="J78" s="128">
        <f t="shared" si="7"/>
        <v>6.0958425740998586E-3</v>
      </c>
      <c r="K78" s="129">
        <f>SUMIFS('Sac Parça Detay'!$T$2:$T$544,'Sac Parça Detay'!$A$2:$A$544,A78)</f>
        <v>6.3675667499999991</v>
      </c>
      <c r="L78" s="129">
        <f>SUMIFS('Sac Parça Detay'!$V$2:$V$544,'Sac Parça Detay'!$A$2:$A$544,A78)</f>
        <v>6.4066204999999998</v>
      </c>
      <c r="M78" s="129">
        <f>SUMIFS('Sac Parça Detay'!$U$2:$U$544,'Sac Parça Detay'!$A$2:$A$544,A78)</f>
        <v>3.9053750000000928E-2</v>
      </c>
      <c r="N78" s="130">
        <f>SUMIFS('Sac Parça Detay'!$S$2:$S$544,'Sac Parça Detay'!$A$2:$A$544,A78)</f>
        <v>5.1125151727272735</v>
      </c>
      <c r="O78" s="130">
        <f t="shared" si="8"/>
        <v>51.125151727272737</v>
      </c>
      <c r="P78" s="125">
        <v>4</v>
      </c>
      <c r="Q78" s="125" t="s">
        <v>1521</v>
      </c>
      <c r="R78" s="125" t="s">
        <v>130</v>
      </c>
      <c r="S78" s="125" t="s">
        <v>1520</v>
      </c>
      <c r="T78" s="132">
        <v>7.5444651937348501</v>
      </c>
      <c r="U78" s="133">
        <f>N78-T78</f>
        <v>-2.4319500210075766</v>
      </c>
      <c r="V78" s="134" t="s">
        <v>1523</v>
      </c>
    </row>
    <row r="79" spans="1:22" ht="15" customHeight="1" x14ac:dyDescent="0.25">
      <c r="A79" s="135" t="s">
        <v>612</v>
      </c>
      <c r="B79" s="135" t="s">
        <v>342</v>
      </c>
      <c r="C79" s="135" t="s">
        <v>117</v>
      </c>
      <c r="D79" s="136">
        <v>5</v>
      </c>
      <c r="E79" s="135">
        <f>COUNTIFS('Sac Parça Detay'!$A$2:$A$544,A79)</f>
        <v>4</v>
      </c>
      <c r="F79" s="135">
        <f>SUMIFS('Sac Parça Detay'!$G$2:$G$544,'Sac Parça Detay'!$A$2:$A$544,A79)</f>
        <v>6</v>
      </c>
      <c r="G79" s="137">
        <f>SUMPRODUCT(('Sac Parça Detay'!$A$2:$A$544=A79)*'Sac Parça Detay'!$K$2:$K$544*'Sac Parça Detay'!$G$2:$G$544)</f>
        <v>0.10243300000000001</v>
      </c>
      <c r="H79" s="137">
        <f>SUMPRODUCT(('Sac Parça Detay'!$A$2:$A$544=A79)*'Sac Parça Detay'!$M$2:$M$544*'Sac Parça Detay'!$G$2:$G$544)</f>
        <v>0.12938219110327984</v>
      </c>
      <c r="I79" s="137">
        <f t="shared" si="6"/>
        <v>2.6949191103279826E-2</v>
      </c>
      <c r="J79" s="138">
        <f t="shared" si="7"/>
        <v>0.20829134885934594</v>
      </c>
      <c r="K79" s="139">
        <f>SUMIFS('Sac Parça Detay'!$T$2:$T$544,'Sac Parça Detay'!$A$2:$A$544,A79)</f>
        <v>4.7679879499999993</v>
      </c>
      <c r="L79" s="139">
        <f>SUMIFS('Sac Parça Detay'!$V$2:$V$544,'Sac Parça Detay'!$A$2:$A$544,A79)</f>
        <v>6.0248690668181384</v>
      </c>
      <c r="M79" s="139">
        <f>SUMIFS('Sac Parça Detay'!$U$2:$U$544,'Sac Parça Detay'!$A$2:$A$544,A79)</f>
        <v>1.2568811168181391</v>
      </c>
      <c r="N79" s="140">
        <f>SUMIFS('Sac Parça Detay'!$S$2:$S$544,'Sac Parça Detay'!$A$2:$A$544,A79)</f>
        <v>4.408552342495847</v>
      </c>
      <c r="O79" s="140">
        <f t="shared" si="8"/>
        <v>22.042761712479233</v>
      </c>
      <c r="P79" s="135">
        <v>2</v>
      </c>
      <c r="Q79" s="135" t="s">
        <v>1521</v>
      </c>
      <c r="R79" s="135" t="s">
        <v>130</v>
      </c>
      <c r="S79" s="135" t="s">
        <v>1520</v>
      </c>
    </row>
    <row r="80" spans="1:22" ht="15" customHeight="1" x14ac:dyDescent="0.25">
      <c r="A80" s="135" t="s">
        <v>583</v>
      </c>
      <c r="B80" s="135" t="s">
        <v>304</v>
      </c>
      <c r="C80" s="135" t="s">
        <v>194</v>
      </c>
      <c r="D80" s="136">
        <v>1</v>
      </c>
      <c r="E80" s="135">
        <f>COUNTIFS('Sac Parça Detay'!$A$2:$A$544,A80)</f>
        <v>4</v>
      </c>
      <c r="F80" s="135">
        <f>SUMIFS('Sac Parça Detay'!$G$2:$G$544,'Sac Parça Detay'!$A$2:$A$544,A80)</f>
        <v>5</v>
      </c>
      <c r="G80" s="137">
        <f>SUMPRODUCT(('Sac Parça Detay'!$A$2:$A$544=A80)*'Sac Parça Detay'!$K$2:$K$544*'Sac Parça Detay'!$G$2:$G$544)</f>
        <v>6.7968999999999988E-2</v>
      </c>
      <c r="H80" s="137">
        <f>SUMPRODUCT(('Sac Parça Detay'!$A$2:$A$544=A80)*'Sac Parça Detay'!$M$2:$M$544*'Sac Parça Detay'!$G$2:$G$544)</f>
        <v>8.2889024390243898E-2</v>
      </c>
      <c r="I80" s="137">
        <f t="shared" si="6"/>
        <v>1.4920024390243911E-2</v>
      </c>
      <c r="J80" s="138">
        <f t="shared" si="7"/>
        <v>0.1800000000000001</v>
      </c>
      <c r="K80" s="139">
        <f>SUMIFS('Sac Parça Detay'!$T$2:$T$544,'Sac Parça Detay'!$A$2:$A$544,A80)</f>
        <v>6.0830906000000002</v>
      </c>
      <c r="L80" s="139">
        <f>SUMIFS('Sac Parça Detay'!$V$2:$V$544,'Sac Parça Detay'!$A$2:$A$544,A80)</f>
        <v>7.4184031707317075</v>
      </c>
      <c r="M80" s="139">
        <f>SUMIFS('Sac Parça Detay'!$U$2:$U$544,'Sac Parça Detay'!$A$2:$A$544,A80)</f>
        <v>1.3353125707317064</v>
      </c>
      <c r="N80" s="140">
        <f>SUMIFS('Sac Parça Detay'!$S$2:$S$544,'Sac Parça Detay'!$A$2:$A$544,A80)</f>
        <v>5.497711149800443</v>
      </c>
      <c r="O80" s="140">
        <f t="shared" si="8"/>
        <v>5.497711149800443</v>
      </c>
      <c r="P80" s="135">
        <v>0</v>
      </c>
      <c r="Q80" s="135" t="s">
        <v>1521</v>
      </c>
      <c r="R80" s="135" t="s">
        <v>130</v>
      </c>
      <c r="S80" s="135" t="s">
        <v>1520</v>
      </c>
    </row>
    <row r="81" spans="1:22" ht="15" customHeight="1" x14ac:dyDescent="0.25">
      <c r="A81" s="135" t="s">
        <v>556</v>
      </c>
      <c r="B81" s="135" t="s">
        <v>262</v>
      </c>
      <c r="C81" s="135" t="s">
        <v>156</v>
      </c>
      <c r="D81" s="136">
        <v>5</v>
      </c>
      <c r="E81" s="135">
        <f>COUNTIFS('Sac Parça Detay'!$A$2:$A$544,A81)</f>
        <v>2</v>
      </c>
      <c r="F81" s="135">
        <f>SUMIFS('Sac Parça Detay'!$G$2:$G$544,'Sac Parça Detay'!$A$2:$A$544,A81)</f>
        <v>2</v>
      </c>
      <c r="G81" s="137">
        <f>SUMPRODUCT(('Sac Parça Detay'!$A$2:$A$544=A81)*'Sac Parça Detay'!$K$2:$K$544*'Sac Parça Detay'!$G$2:$G$544)</f>
        <v>8.3948999999999996E-2</v>
      </c>
      <c r="H81" s="137">
        <f>SUMPRODUCT(('Sac Parça Detay'!$A$2:$A$544=A81)*'Sac Parça Detay'!$M$2:$M$544*'Sac Parça Detay'!$G$2:$G$544)</f>
        <v>0.10237682926829267</v>
      </c>
      <c r="I81" s="137">
        <f t="shared" si="6"/>
        <v>1.8427829268292673E-2</v>
      </c>
      <c r="J81" s="138">
        <f t="shared" si="7"/>
        <v>0.17999999999999994</v>
      </c>
      <c r="K81" s="139">
        <f>SUMIFS('Sac Parça Detay'!$T$2:$T$544,'Sac Parça Detay'!$A$2:$A$544,A81)</f>
        <v>5.2719971999999995</v>
      </c>
      <c r="L81" s="139">
        <f>SUMIFS('Sac Parça Detay'!$V$2:$V$544,'Sac Parça Detay'!$A$2:$A$544,A81)</f>
        <v>6.4292648780487802</v>
      </c>
      <c r="M81" s="139">
        <f>SUMIFS('Sac Parça Detay'!$U$2:$U$544,'Sac Parça Detay'!$A$2:$A$544,A81)</f>
        <v>1.1572676780487798</v>
      </c>
      <c r="N81" s="140">
        <f>SUMIFS('Sac Parça Detay'!$S$2:$S$544,'Sac Parça Detay'!$A$2:$A$544,A81)</f>
        <v>4.7646697532594242</v>
      </c>
      <c r="O81" s="140">
        <f t="shared" si="8"/>
        <v>23.823348766297123</v>
      </c>
      <c r="P81" s="135">
        <v>2</v>
      </c>
      <c r="Q81" s="135" t="s">
        <v>1521</v>
      </c>
      <c r="R81" s="135" t="s">
        <v>130</v>
      </c>
      <c r="S81" s="135" t="s">
        <v>1520</v>
      </c>
    </row>
    <row r="82" spans="1:22" ht="15" customHeight="1" x14ac:dyDescent="0.25">
      <c r="A82" s="135" t="s">
        <v>457</v>
      </c>
      <c r="B82" s="135" t="s">
        <v>121</v>
      </c>
      <c r="C82" s="135" t="s">
        <v>93</v>
      </c>
      <c r="D82" s="136">
        <v>142</v>
      </c>
      <c r="E82" s="135">
        <f>COUNTIFS('Sac Parça Detay'!$A$2:$A$544,A82)</f>
        <v>3</v>
      </c>
      <c r="F82" s="135">
        <f>SUMIFS('Sac Parça Detay'!$G$2:$G$544,'Sac Parça Detay'!$A$2:$A$544,A82)</f>
        <v>6</v>
      </c>
      <c r="G82" s="137">
        <f>SUMPRODUCT(('Sac Parça Detay'!$A$2:$A$544=A82)*'Sac Parça Detay'!$K$2:$K$544*'Sac Parça Detay'!$G$2:$G$544)</f>
        <v>5.2229999999999999E-2</v>
      </c>
      <c r="H82" s="137">
        <f>SUMPRODUCT(('Sac Parça Detay'!$A$2:$A$544=A82)*'Sac Parça Detay'!$M$2:$M$544*'Sac Parça Detay'!$G$2:$G$544)</f>
        <v>6.3695121951219513E-2</v>
      </c>
      <c r="I82" s="137">
        <f t="shared" si="6"/>
        <v>1.1465121951219515E-2</v>
      </c>
      <c r="J82" s="138">
        <f t="shared" si="7"/>
        <v>0.18000000000000002</v>
      </c>
      <c r="K82" s="139">
        <f>SUMIFS('Sac Parça Detay'!$T$2:$T$544,'Sac Parça Detay'!$A$2:$A$544,A82)</f>
        <v>2.4600329999999997</v>
      </c>
      <c r="L82" s="139">
        <f>SUMIFS('Sac Parça Detay'!$V$2:$V$544,'Sac Parça Detay'!$A$2:$A$544,A82)</f>
        <v>3.000040243902439</v>
      </c>
      <c r="M82" s="139">
        <f>SUMIFS('Sac Parça Detay'!$U$2:$U$544,'Sac Parça Detay'!$A$2:$A$544,A82)</f>
        <v>0.54000724390243882</v>
      </c>
      <c r="N82" s="140">
        <f>SUMIFS('Sac Parça Detay'!$S$2:$S$544,'Sac Parça Detay'!$A$2:$A$544,A82)</f>
        <v>2.2233025516629712</v>
      </c>
      <c r="O82" s="140">
        <f t="shared" si="8"/>
        <v>315.70896233614189</v>
      </c>
      <c r="P82" s="135">
        <v>1</v>
      </c>
      <c r="Q82" s="135" t="s">
        <v>1521</v>
      </c>
      <c r="R82" s="135" t="s">
        <v>130</v>
      </c>
      <c r="S82" s="135" t="s">
        <v>1520</v>
      </c>
    </row>
    <row r="83" spans="1:22" ht="15" customHeight="1" x14ac:dyDescent="0.25">
      <c r="A83" s="135" t="s">
        <v>613</v>
      </c>
      <c r="B83" s="135" t="s">
        <v>344</v>
      </c>
      <c r="C83" s="135" t="s">
        <v>139</v>
      </c>
      <c r="D83" s="136">
        <v>6</v>
      </c>
      <c r="E83" s="135">
        <f>COUNTIFS('Sac Parça Detay'!$A$2:$A$544,A83)</f>
        <v>3</v>
      </c>
      <c r="F83" s="135">
        <f>SUMIFS('Sac Parça Detay'!$G$2:$G$544,'Sac Parça Detay'!$A$2:$A$544,A83)</f>
        <v>6</v>
      </c>
      <c r="G83" s="137">
        <f>SUMPRODUCT(('Sac Parça Detay'!$A$2:$A$544=A83)*'Sac Parça Detay'!$K$2:$K$544*'Sac Parça Detay'!$G$2:$G$544)</f>
        <v>5.2229999999999999E-2</v>
      </c>
      <c r="H83" s="137">
        <f>SUMPRODUCT(('Sac Parça Detay'!$A$2:$A$544=A83)*'Sac Parça Detay'!$M$2:$M$544*'Sac Parça Detay'!$G$2:$G$544)</f>
        <v>6.3695121951219513E-2</v>
      </c>
      <c r="I83" s="137">
        <f t="shared" si="6"/>
        <v>1.1465121951219515E-2</v>
      </c>
      <c r="J83" s="138">
        <f t="shared" si="7"/>
        <v>0.18000000000000002</v>
      </c>
      <c r="K83" s="139">
        <f>SUMIFS('Sac Parça Detay'!$T$2:$T$544,'Sac Parça Detay'!$A$2:$A$544,A83)</f>
        <v>2.4600329999999997</v>
      </c>
      <c r="L83" s="139">
        <f>SUMIFS('Sac Parça Detay'!$V$2:$V$544,'Sac Parça Detay'!$A$2:$A$544,A83)</f>
        <v>3.000040243902439</v>
      </c>
      <c r="M83" s="139">
        <f>SUMIFS('Sac Parça Detay'!$U$2:$U$544,'Sac Parça Detay'!$A$2:$A$544,A83)</f>
        <v>0.54000724390243882</v>
      </c>
      <c r="N83" s="140">
        <f>SUMIFS('Sac Parça Detay'!$S$2:$S$544,'Sac Parça Detay'!$A$2:$A$544,A83)</f>
        <v>2.2233025516629712</v>
      </c>
      <c r="O83" s="140">
        <f t="shared" si="8"/>
        <v>13.339815309977826</v>
      </c>
      <c r="P83" s="135">
        <v>1</v>
      </c>
      <c r="Q83" s="135" t="s">
        <v>1521</v>
      </c>
      <c r="R83" s="135" t="s">
        <v>130</v>
      </c>
      <c r="S83" s="135" t="s">
        <v>1520</v>
      </c>
    </row>
    <row r="84" spans="1:22" ht="15" customHeight="1" x14ac:dyDescent="0.25">
      <c r="A84" s="135" t="s">
        <v>523</v>
      </c>
      <c r="B84" s="135" t="s">
        <v>217</v>
      </c>
      <c r="C84" s="135" t="s">
        <v>194</v>
      </c>
      <c r="D84" s="136">
        <v>13</v>
      </c>
      <c r="E84" s="135">
        <f>COUNTIFS('Sac Parça Detay'!$A$2:$A$544,A84)</f>
        <v>2</v>
      </c>
      <c r="F84" s="135">
        <f>SUMIFS('Sac Parça Detay'!$G$2:$G$544,'Sac Parça Detay'!$A$2:$A$544,A84)</f>
        <v>2</v>
      </c>
      <c r="G84" s="137">
        <f>SUMPRODUCT(('Sac Parça Detay'!$A$2:$A$544=A84)*'Sac Parça Detay'!$K$2:$K$544*'Sac Parça Detay'!$G$2:$G$544)</f>
        <v>3.1847E-2</v>
      </c>
      <c r="H84" s="137">
        <f>SUMPRODUCT(('Sac Parça Detay'!$A$2:$A$544=A84)*'Sac Parça Detay'!$M$2:$M$544*'Sac Parça Detay'!$G$2:$G$544)</f>
        <v>3.8837804878048776E-2</v>
      </c>
      <c r="I84" s="137">
        <f t="shared" si="6"/>
        <v>6.9908048780487758E-3</v>
      </c>
      <c r="J84" s="138">
        <f t="shared" si="7"/>
        <v>0.17999999999999991</v>
      </c>
      <c r="K84" s="139">
        <f>SUMIFS('Sac Parça Detay'!$T$2:$T$544,'Sac Parça Detay'!$A$2:$A$544,A84)</f>
        <v>1.9999916</v>
      </c>
      <c r="L84" s="139">
        <f>SUMIFS('Sac Parça Detay'!$V$2:$V$544,'Sac Parça Detay'!$A$2:$A$544,A84)</f>
        <v>2.4390141463414632</v>
      </c>
      <c r="M84" s="139">
        <f>SUMIFS('Sac Parça Detay'!$U$2:$U$544,'Sac Parça Detay'!$A$2:$A$544,A84)</f>
        <v>0.4390225463414632</v>
      </c>
      <c r="N84" s="140">
        <f>SUMIFS('Sac Parça Detay'!$S$2:$S$544,'Sac Parça Detay'!$A$2:$A$544,A84)</f>
        <v>1.8075312109977826</v>
      </c>
      <c r="O84" s="140">
        <f t="shared" si="8"/>
        <v>23.497905742971174</v>
      </c>
      <c r="P84" s="135">
        <v>2</v>
      </c>
      <c r="Q84" s="135" t="s">
        <v>1521</v>
      </c>
      <c r="R84" s="135" t="s">
        <v>130</v>
      </c>
      <c r="S84" s="135" t="s">
        <v>1520</v>
      </c>
    </row>
    <row r="85" spans="1:22" ht="15" customHeight="1" x14ac:dyDescent="0.25">
      <c r="A85" s="135" t="s">
        <v>551</v>
      </c>
      <c r="B85" s="135" t="s">
        <v>256</v>
      </c>
      <c r="C85" s="135" t="s">
        <v>119</v>
      </c>
      <c r="D85" s="136">
        <v>5</v>
      </c>
      <c r="E85" s="135">
        <f>COUNTIFS('Sac Parça Detay'!$A$2:$A$544,A85)</f>
        <v>2</v>
      </c>
      <c r="F85" s="135">
        <f>SUMIFS('Sac Parça Detay'!$G$2:$G$544,'Sac Parça Detay'!$A$2:$A$544,A85)</f>
        <v>2</v>
      </c>
      <c r="G85" s="137">
        <f>SUMPRODUCT(('Sac Parça Detay'!$A$2:$A$544=A85)*'Sac Parça Detay'!$K$2:$K$544*'Sac Parça Detay'!$G$2:$G$544)</f>
        <v>8.3455000000000001E-2</v>
      </c>
      <c r="H85" s="137">
        <f>SUMPRODUCT(('Sac Parça Detay'!$A$2:$A$544=A85)*'Sac Parça Detay'!$M$2:$M$544*'Sac Parça Detay'!$G$2:$G$544)</f>
        <v>0.10177439024390243</v>
      </c>
      <c r="I85" s="137">
        <f t="shared" si="6"/>
        <v>1.8319390243902431E-2</v>
      </c>
      <c r="J85" s="138">
        <f t="shared" si="7"/>
        <v>0.17999999999999994</v>
      </c>
      <c r="K85" s="139">
        <f>SUMIFS('Sac Parça Detay'!$T$2:$T$544,'Sac Parça Detay'!$A$2:$A$544,A85)</f>
        <v>5.2409739999999996</v>
      </c>
      <c r="L85" s="139">
        <f>SUMIFS('Sac Parça Detay'!$V$2:$V$544,'Sac Parça Detay'!$A$2:$A$544,A85)</f>
        <v>6.3914317073170723</v>
      </c>
      <c r="M85" s="139">
        <f>SUMIFS('Sac Parça Detay'!$U$2:$U$544,'Sac Parça Detay'!$A$2:$A$544,A85)</f>
        <v>1.1504577073170725</v>
      </c>
      <c r="N85" s="140">
        <f>SUMIFS('Sac Parça Detay'!$S$2:$S$544,'Sac Parça Detay'!$A$2:$A$544,A85)</f>
        <v>4.736631934368071</v>
      </c>
      <c r="O85" s="140">
        <f t="shared" si="8"/>
        <v>23.683159671840354</v>
      </c>
      <c r="P85" s="135">
        <v>4</v>
      </c>
      <c r="Q85" s="135" t="s">
        <v>1521</v>
      </c>
      <c r="R85" s="135" t="s">
        <v>130</v>
      </c>
      <c r="S85" s="135" t="s">
        <v>1520</v>
      </c>
    </row>
    <row r="86" spans="1:22" ht="15" customHeight="1" x14ac:dyDescent="0.25">
      <c r="A86" s="135" t="s">
        <v>490</v>
      </c>
      <c r="B86" s="135" t="s">
        <v>174</v>
      </c>
      <c r="C86" s="135" t="s">
        <v>117</v>
      </c>
      <c r="D86" s="136">
        <v>52</v>
      </c>
      <c r="E86" s="135">
        <f>COUNTIFS('Sac Parça Detay'!$A$2:$A$544,A86)</f>
        <v>2</v>
      </c>
      <c r="F86" s="135">
        <f>SUMIFS('Sac Parça Detay'!$G$2:$G$544,'Sac Parça Detay'!$A$2:$A$544,A86)</f>
        <v>3</v>
      </c>
      <c r="G86" s="137">
        <f>SUMPRODUCT(('Sac Parça Detay'!$A$2:$A$544=A86)*'Sac Parça Detay'!$K$2:$K$544*'Sac Parça Detay'!$G$2:$G$544)</f>
        <v>0.23358899999999999</v>
      </c>
      <c r="H86" s="137">
        <f>SUMPRODUCT(('Sac Parça Detay'!$A$2:$A$544=A86)*'Sac Parça Detay'!$M$2:$M$544*'Sac Parça Detay'!$G$2:$G$544)</f>
        <v>0.29531234041237747</v>
      </c>
      <c r="I86" s="137">
        <f t="shared" si="6"/>
        <v>6.1723340412377481E-2</v>
      </c>
      <c r="J86" s="138">
        <f t="shared" si="7"/>
        <v>0.20901036619799335</v>
      </c>
      <c r="K86" s="139">
        <f>SUMIFS('Sac Parça Detay'!$T$2:$T$544,'Sac Parça Detay'!$A$2:$A$544,A86)</f>
        <v>5.7450303499999995</v>
      </c>
      <c r="L86" s="139">
        <f>SUMIFS('Sac Parça Detay'!$V$2:$V$544,'Sac Parça Detay'!$A$2:$A$544,A86)</f>
        <v>7.2521780557358788</v>
      </c>
      <c r="M86" s="139">
        <f>SUMIFS('Sac Parça Detay'!$U$2:$U$544,'Sac Parça Detay'!$A$2:$A$544,A86)</f>
        <v>1.5071477057358798</v>
      </c>
      <c r="N86" s="140">
        <f>SUMIFS('Sac Parça Detay'!$S$2:$S$544,'Sac Parça Detay'!$A$2:$A$544,A86)</f>
        <v>5.3084941045296885</v>
      </c>
      <c r="O86" s="140">
        <f t="shared" si="8"/>
        <v>276.04169343554378</v>
      </c>
      <c r="P86" s="135">
        <v>0</v>
      </c>
      <c r="Q86" s="135" t="s">
        <v>1521</v>
      </c>
      <c r="R86" s="135" t="s">
        <v>130</v>
      </c>
      <c r="S86" s="135" t="s">
        <v>1520</v>
      </c>
    </row>
    <row r="87" spans="1:22" ht="15" customHeight="1" x14ac:dyDescent="0.25">
      <c r="A87" s="135" t="s">
        <v>517</v>
      </c>
      <c r="B87" s="135" t="s">
        <v>211</v>
      </c>
      <c r="C87" s="135" t="s">
        <v>117</v>
      </c>
      <c r="D87" s="136">
        <v>114</v>
      </c>
      <c r="E87" s="135">
        <f>COUNTIFS('Sac Parça Detay'!$A$2:$A$544,A87)</f>
        <v>1</v>
      </c>
      <c r="F87" s="135">
        <f>SUMIFS('Sac Parça Detay'!$G$2:$G$544,'Sac Parça Detay'!$A$2:$A$544,A87)</f>
        <v>1</v>
      </c>
      <c r="G87" s="137">
        <f>SUMPRODUCT(('Sac Parça Detay'!$A$2:$A$544=A87)*'Sac Parça Detay'!$K$2:$K$544*'Sac Parça Detay'!$G$2:$G$544)</f>
        <v>1.507E-2</v>
      </c>
      <c r="H87" s="137">
        <f>SUMPRODUCT(('Sac Parça Detay'!$A$2:$A$544=A87)*'Sac Parça Detay'!$M$2:$M$544*'Sac Parça Detay'!$G$2:$G$544)</f>
        <v>1.8378048780487804E-2</v>
      </c>
      <c r="I87" s="137">
        <f t="shared" si="6"/>
        <v>3.3080487804878038E-3</v>
      </c>
      <c r="J87" s="138">
        <f t="shared" si="7"/>
        <v>0.17999999999999994</v>
      </c>
      <c r="K87" s="139">
        <f>SUMIFS('Sac Parça Detay'!$T$2:$T$544,'Sac Parça Detay'!$A$2:$A$544,A87)</f>
        <v>2.36599</v>
      </c>
      <c r="L87" s="139">
        <f>SUMIFS('Sac Parça Detay'!$V$2:$V$544,'Sac Parça Detay'!$A$2:$A$544,A87)</f>
        <v>2.8853536585365851</v>
      </c>
      <c r="M87" s="139">
        <f>SUMIFS('Sac Parça Detay'!$U$2:$U$544,'Sac Parça Detay'!$A$2:$A$544,A87)</f>
        <v>0.51936365853658517</v>
      </c>
      <c r="N87" s="140">
        <f>SUMIFS('Sac Parça Detay'!$S$2:$S$544,'Sac Parça Detay'!$A$2:$A$544,A87)</f>
        <v>2.1383093658536585</v>
      </c>
      <c r="O87" s="140">
        <f t="shared" si="8"/>
        <v>243.76726770731707</v>
      </c>
      <c r="P87" s="135">
        <v>1</v>
      </c>
      <c r="Q87" s="135" t="s">
        <v>1521</v>
      </c>
      <c r="R87" s="135" t="s">
        <v>130</v>
      </c>
      <c r="S87" s="135" t="s">
        <v>1520</v>
      </c>
    </row>
    <row r="88" spans="1:22" ht="15" customHeight="1" x14ac:dyDescent="0.25">
      <c r="A88" s="125" t="s">
        <v>494</v>
      </c>
      <c r="B88" s="125" t="s">
        <v>178</v>
      </c>
      <c r="C88" s="125" t="s">
        <v>119</v>
      </c>
      <c r="D88" s="126">
        <v>52</v>
      </c>
      <c r="E88" s="125">
        <f>COUNTIFS('Sac Parça Detay'!$A$2:$A$544,A88)</f>
        <v>2</v>
      </c>
      <c r="F88" s="125">
        <f>SUMIFS('Sac Parça Detay'!$G$2:$G$544,'Sac Parça Detay'!$A$2:$A$544,A88)</f>
        <v>2</v>
      </c>
      <c r="G88" s="127">
        <f>SUMPRODUCT(('Sac Parça Detay'!$A$2:$A$544=A88)*'Sac Parça Detay'!$K$2:$K$544*'Sac Parça Detay'!$G$2:$G$544)</f>
        <v>0.22815000000000002</v>
      </c>
      <c r="H88" s="127">
        <f>SUMPRODUCT(('Sac Parça Detay'!$A$2:$A$544=A88)*'Sac Parça Detay'!$M$2:$M$544*'Sac Parça Detay'!$G$2:$G$544)</f>
        <v>0.29184980988593157</v>
      </c>
      <c r="I88" s="127">
        <f t="shared" si="6"/>
        <v>6.3699809885931546E-2</v>
      </c>
      <c r="J88" s="128">
        <f t="shared" si="7"/>
        <v>0.21826229700416247</v>
      </c>
      <c r="K88" s="129">
        <f>SUMIFS('Sac Parça Detay'!$T$2:$T$544,'Sac Parça Detay'!$A$2:$A$544,A88)</f>
        <v>5.5068849000000002</v>
      </c>
      <c r="L88" s="129">
        <f>SUMIFS('Sac Parça Detay'!$V$2:$V$544,'Sac Parça Detay'!$A$2:$A$544,A88)</f>
        <v>7.0850130228136869</v>
      </c>
      <c r="M88" s="129">
        <f>SUMIFS('Sac Parça Detay'!$U$2:$U$544,'Sac Parça Detay'!$A$2:$A$544,A88)</f>
        <v>1.5781281228136876</v>
      </c>
      <c r="N88" s="130">
        <f>SUMIFS('Sac Parça Detay'!$S$2:$S$544,'Sac Parça Detay'!$A$2:$A$544,A88)</f>
        <v>5.1515321235119256</v>
      </c>
      <c r="O88" s="130">
        <f t="shared" si="8"/>
        <v>267.87967042262011</v>
      </c>
      <c r="P88" s="125">
        <v>0</v>
      </c>
      <c r="Q88" s="125" t="s">
        <v>1521</v>
      </c>
      <c r="R88" s="125" t="s">
        <v>130</v>
      </c>
      <c r="S88" s="125" t="s">
        <v>1520</v>
      </c>
      <c r="T88" s="132">
        <v>6.5325309103932296</v>
      </c>
      <c r="U88" s="133">
        <f>N88-T88</f>
        <v>-1.3809987868813041</v>
      </c>
      <c r="V88" s="134" t="s">
        <v>1524</v>
      </c>
    </row>
    <row r="89" spans="1:22" ht="15" customHeight="1" x14ac:dyDescent="0.25">
      <c r="A89" s="135" t="s">
        <v>560</v>
      </c>
      <c r="B89" s="135" t="s">
        <v>269</v>
      </c>
      <c r="C89" s="135" t="s">
        <v>107</v>
      </c>
      <c r="D89" s="136">
        <v>5</v>
      </c>
      <c r="E89" s="135">
        <f>COUNTIFS('Sac Parça Detay'!$A$2:$A$544,A89)</f>
        <v>2</v>
      </c>
      <c r="F89" s="135">
        <f>SUMIFS('Sac Parça Detay'!$G$2:$G$544,'Sac Parça Detay'!$A$2:$A$544,A89)</f>
        <v>2</v>
      </c>
      <c r="G89" s="137">
        <f>SUMPRODUCT(('Sac Parça Detay'!$A$2:$A$544=A89)*'Sac Parça Detay'!$K$2:$K$544*'Sac Parça Detay'!$G$2:$G$544)</f>
        <v>0.22562299999999999</v>
      </c>
      <c r="H89" s="137">
        <f>SUMPRODUCT(('Sac Parça Detay'!$A$2:$A$544=A89)*'Sac Parça Detay'!$M$2:$M$544*'Sac Parça Detay'!$G$2:$G$544)</f>
        <v>0.28555295372345357</v>
      </c>
      <c r="I89" s="137">
        <f t="shared" si="6"/>
        <v>5.9929953723453583E-2</v>
      </c>
      <c r="J89" s="138">
        <f t="shared" si="7"/>
        <v>0.20987334552838599</v>
      </c>
      <c r="K89" s="139">
        <f>SUMIFS('Sac Parça Detay'!$T$2:$T$544,'Sac Parça Detay'!$A$2:$A$544,A89)</f>
        <v>5.44702865</v>
      </c>
      <c r="L89" s="139">
        <f>SUMIFS('Sac Parça Detay'!$V$2:$V$544,'Sac Parça Detay'!$A$2:$A$544,A89)</f>
        <v>6.8877074260409898</v>
      </c>
      <c r="M89" s="139">
        <f>SUMIFS('Sac Parça Detay'!$U$2:$U$544,'Sac Parça Detay'!$A$2:$A$544,A89)</f>
        <v>1.4406787760409898</v>
      </c>
      <c r="N89" s="140">
        <f>SUMIFS('Sac Parça Detay'!$S$2:$S$544,'Sac Parça Detay'!$A$2:$A$544,A89)</f>
        <v>5.0386710686739224</v>
      </c>
      <c r="O89" s="140">
        <f t="shared" si="8"/>
        <v>25.19335534336961</v>
      </c>
      <c r="P89" s="135">
        <v>0</v>
      </c>
      <c r="Q89" s="135" t="s">
        <v>1521</v>
      </c>
      <c r="R89" s="135" t="s">
        <v>130</v>
      </c>
      <c r="S89" s="135" t="s">
        <v>1520</v>
      </c>
    </row>
    <row r="90" spans="1:22" ht="15" customHeight="1" x14ac:dyDescent="0.25">
      <c r="A90" s="135" t="s">
        <v>570</v>
      </c>
      <c r="B90" s="135" t="s">
        <v>283</v>
      </c>
      <c r="C90" s="135" t="s">
        <v>107</v>
      </c>
      <c r="D90" s="136">
        <v>3</v>
      </c>
      <c r="E90" s="135">
        <f>COUNTIFS('Sac Parça Detay'!$A$2:$A$544,A90)</f>
        <v>2</v>
      </c>
      <c r="F90" s="135">
        <f>SUMIFS('Sac Parça Detay'!$G$2:$G$544,'Sac Parça Detay'!$A$2:$A$544,A90)</f>
        <v>3</v>
      </c>
      <c r="G90" s="137">
        <f>SUMPRODUCT(('Sac Parça Detay'!$A$2:$A$544=A90)*'Sac Parça Detay'!$K$2:$K$544*'Sac Parça Detay'!$G$2:$G$544)</f>
        <v>5.3523999999999995E-2</v>
      </c>
      <c r="H90" s="137">
        <f>SUMPRODUCT(('Sac Parça Detay'!$A$2:$A$544=A90)*'Sac Parça Detay'!$M$2:$M$544*'Sac Parça Detay'!$G$2:$G$544)</f>
        <v>6.7538684348820668E-2</v>
      </c>
      <c r="I90" s="137">
        <f t="shared" si="6"/>
        <v>1.4014684348820673E-2</v>
      </c>
      <c r="J90" s="138">
        <f t="shared" si="7"/>
        <v>0.20750603130552975</v>
      </c>
      <c r="K90" s="139">
        <f>SUMIFS('Sac Parça Detay'!$T$2:$T$544,'Sac Parça Detay'!$A$2:$A$544,A90)</f>
        <v>5.0419607999999991</v>
      </c>
      <c r="L90" s="139">
        <f>SUMIFS('Sac Parça Detay'!$V$2:$V$544,'Sac Parça Detay'!$A$2:$A$544,A90)</f>
        <v>6.3621440656589066</v>
      </c>
      <c r="M90" s="139">
        <f>SUMIFS('Sac Parça Detay'!$U$2:$U$544,'Sac Parça Detay'!$A$2:$A$544,A90)</f>
        <v>1.320183265658907</v>
      </c>
      <c r="N90" s="140">
        <f>SUMIFS('Sac Parça Detay'!$S$2:$S$544,'Sac Parça Detay'!$A$2:$A$544,A90)</f>
        <v>4.6576552746751192</v>
      </c>
      <c r="O90" s="140">
        <f t="shared" si="8"/>
        <v>13.972965824025358</v>
      </c>
      <c r="P90" s="135">
        <v>0</v>
      </c>
      <c r="Q90" s="135" t="s">
        <v>1521</v>
      </c>
      <c r="R90" s="135" t="s">
        <v>130</v>
      </c>
      <c r="S90" s="135" t="s">
        <v>1520</v>
      </c>
    </row>
    <row r="91" spans="1:22" ht="15" customHeight="1" x14ac:dyDescent="0.25">
      <c r="A91" s="135" t="s">
        <v>602</v>
      </c>
      <c r="B91" s="135" t="s">
        <v>327</v>
      </c>
      <c r="C91" s="135" t="s">
        <v>107</v>
      </c>
      <c r="D91" s="136">
        <v>10</v>
      </c>
      <c r="E91" s="135">
        <f>COUNTIFS('Sac Parça Detay'!$A$2:$A$544,A91)</f>
        <v>3</v>
      </c>
      <c r="F91" s="135">
        <f>SUMIFS('Sac Parça Detay'!$G$2:$G$544,'Sac Parça Detay'!$A$2:$A$544,A91)</f>
        <v>4</v>
      </c>
      <c r="G91" s="137">
        <f>SUMPRODUCT(('Sac Parça Detay'!$A$2:$A$544=A91)*'Sac Parça Detay'!$K$2:$K$544*'Sac Parça Detay'!$G$2:$G$544)</f>
        <v>2.9882999999999996E-2</v>
      </c>
      <c r="H91" s="137">
        <f>SUMPRODUCT(('Sac Parça Detay'!$A$2:$A$544=A91)*'Sac Parça Detay'!$M$2:$M$544*'Sac Parça Detay'!$G$2:$G$544)</f>
        <v>3.7225517017527583E-2</v>
      </c>
      <c r="I91" s="137">
        <f t="shared" si="6"/>
        <v>7.3425170175275868E-3</v>
      </c>
      <c r="J91" s="138">
        <f t="shared" si="7"/>
        <v>0.1972441917749691</v>
      </c>
      <c r="K91" s="139">
        <f>SUMIFS('Sac Parça Detay'!$T$2:$T$544,'Sac Parça Detay'!$A$2:$A$544,A91)</f>
        <v>1.6999881499999998</v>
      </c>
      <c r="L91" s="139">
        <f>SUMIFS('Sac Parça Detay'!$V$2:$V$544,'Sac Parça Detay'!$A$2:$A$544,A91)</f>
        <v>2.1223182613836591</v>
      </c>
      <c r="M91" s="139">
        <f>SUMIFS('Sac Parça Detay'!$U$2:$U$544,'Sac Parça Detay'!$A$2:$A$544,A91)</f>
        <v>0.42233011138365933</v>
      </c>
      <c r="N91" s="140">
        <f>SUMIFS('Sac Parça Detay'!$S$2:$S$544,'Sac Parça Detay'!$A$2:$A$544,A91)</f>
        <v>1.5596374817450025</v>
      </c>
      <c r="O91" s="140">
        <f t="shared" si="8"/>
        <v>15.596374817450025</v>
      </c>
      <c r="P91" s="135">
        <v>2</v>
      </c>
      <c r="Q91" s="135" t="s">
        <v>1521</v>
      </c>
      <c r="R91" s="135" t="s">
        <v>130</v>
      </c>
      <c r="S91" s="135" t="s">
        <v>1520</v>
      </c>
    </row>
    <row r="92" spans="1:22" ht="15" customHeight="1" x14ac:dyDescent="0.25">
      <c r="A92" s="135" t="s">
        <v>564</v>
      </c>
      <c r="B92" s="135" t="s">
        <v>275</v>
      </c>
      <c r="C92" s="135" t="s">
        <v>117</v>
      </c>
      <c r="D92" s="136">
        <v>5</v>
      </c>
      <c r="E92" s="135">
        <f>COUNTIFS('Sac Parça Detay'!$A$2:$A$544,A92)</f>
        <v>2</v>
      </c>
      <c r="F92" s="135">
        <f>SUMIFS('Sac Parça Detay'!$G$2:$G$544,'Sac Parça Detay'!$A$2:$A$544,A92)</f>
        <v>3</v>
      </c>
      <c r="G92" s="137">
        <f>SUMPRODUCT(('Sac Parça Detay'!$A$2:$A$544=A92)*'Sac Parça Detay'!$K$2:$K$544*'Sac Parça Detay'!$G$2:$G$544)</f>
        <v>0.210956</v>
      </c>
      <c r="H92" s="137">
        <f>SUMPRODUCT(('Sac Parça Detay'!$A$2:$A$544=A92)*'Sac Parça Detay'!$M$2:$M$544*'Sac Parça Detay'!$G$2:$G$544)</f>
        <v>0.26662666233886673</v>
      </c>
      <c r="I92" s="137">
        <f t="shared" si="6"/>
        <v>5.5670662338866722E-2</v>
      </c>
      <c r="J92" s="138">
        <f t="shared" si="7"/>
        <v>0.20879630660534843</v>
      </c>
      <c r="K92" s="139">
        <f>SUMIFS('Sac Parça Detay'!$T$2:$T$544,'Sac Parça Detay'!$A$2:$A$544,A92)</f>
        <v>5.2120232</v>
      </c>
      <c r="L92" s="139">
        <f>SUMIFS('Sac Parça Detay'!$V$2:$V$544,'Sac Parça Detay'!$A$2:$A$544,A92)</f>
        <v>6.5766303371047004</v>
      </c>
      <c r="M92" s="139">
        <f>SUMIFS('Sac Parça Detay'!$U$2:$U$544,'Sac Parça Detay'!$A$2:$A$544,A92)</f>
        <v>1.3646071371047013</v>
      </c>
      <c r="N92" s="140">
        <f>SUMIFS('Sac Parça Detay'!$S$2:$S$544,'Sac Parça Detay'!$A$2:$A$544,A92)</f>
        <v>4.8147055702676775</v>
      </c>
      <c r="O92" s="140">
        <f t="shared" si="8"/>
        <v>24.073527851338387</v>
      </c>
      <c r="P92" s="135">
        <v>0</v>
      </c>
      <c r="Q92" s="135" t="s">
        <v>1521</v>
      </c>
      <c r="R92" s="135" t="s">
        <v>130</v>
      </c>
      <c r="S92" s="135" t="s">
        <v>1520</v>
      </c>
    </row>
    <row r="93" spans="1:22" ht="15" customHeight="1" x14ac:dyDescent="0.25">
      <c r="A93" s="135" t="s">
        <v>509</v>
      </c>
      <c r="B93" s="135" t="s">
        <v>202</v>
      </c>
      <c r="C93" s="135" t="s">
        <v>148</v>
      </c>
      <c r="D93" s="136">
        <v>25</v>
      </c>
      <c r="E93" s="135">
        <f>COUNTIFS('Sac Parça Detay'!$A$2:$A$544,A93)</f>
        <v>2</v>
      </c>
      <c r="F93" s="135">
        <f>SUMIFS('Sac Parça Detay'!$G$2:$G$544,'Sac Parça Detay'!$A$2:$A$544,A93)</f>
        <v>3</v>
      </c>
      <c r="G93" s="137">
        <f>SUMPRODUCT(('Sac Parça Detay'!$A$2:$A$544=A93)*'Sac Parça Detay'!$K$2:$K$544*'Sac Parça Detay'!$G$2:$G$544)</f>
        <v>5.5567999999999999E-2</v>
      </c>
      <c r="H93" s="137">
        <f>SUMPRODUCT(('Sac Parça Detay'!$A$2:$A$544=A93)*'Sac Parça Detay'!$M$2:$M$544*'Sac Parça Detay'!$G$2:$G$544)</f>
        <v>7.001459705091348E-2</v>
      </c>
      <c r="I93" s="137">
        <f t="shared" si="6"/>
        <v>1.444659705091348E-2</v>
      </c>
      <c r="J93" s="138">
        <f t="shared" si="7"/>
        <v>0.20633693057475072</v>
      </c>
      <c r="K93" s="139">
        <f>SUMIFS('Sac Parça Detay'!$T$2:$T$544,'Sac Parça Detay'!$A$2:$A$544,A93)</f>
        <v>5.0989203999999999</v>
      </c>
      <c r="L93" s="139">
        <f>SUMIFS('Sac Parça Detay'!$V$2:$V$544,'Sac Parça Detay'!$A$2:$A$544,A93)</f>
        <v>6.4300272373179999</v>
      </c>
      <c r="M93" s="139">
        <f>SUMIFS('Sac Parça Detay'!$U$2:$U$544,'Sac Parça Detay'!$A$2:$A$544,A93)</f>
        <v>1.3311068373180004</v>
      </c>
      <c r="N93" s="140">
        <f>SUMIFS('Sac Parça Detay'!$S$2:$S$544,'Sac Parça Detay'!$A$2:$A$544,A93)</f>
        <v>4.7083868249139638</v>
      </c>
      <c r="O93" s="140">
        <f t="shared" si="8"/>
        <v>117.70967062284909</v>
      </c>
      <c r="P93" s="135">
        <v>0</v>
      </c>
      <c r="Q93" s="135" t="s">
        <v>1521</v>
      </c>
      <c r="R93" s="135" t="s">
        <v>130</v>
      </c>
      <c r="S93" s="135" t="s">
        <v>1520</v>
      </c>
    </row>
    <row r="94" spans="1:22" ht="15" customHeight="1" x14ac:dyDescent="0.25">
      <c r="A94" s="135" t="s">
        <v>588</v>
      </c>
      <c r="B94" s="135" t="s">
        <v>310</v>
      </c>
      <c r="C94" s="135" t="s">
        <v>117</v>
      </c>
      <c r="D94" s="136">
        <v>1</v>
      </c>
      <c r="E94" s="135">
        <f>COUNTIFS('Sac Parça Detay'!$A$2:$A$544,A94)</f>
        <v>2</v>
      </c>
      <c r="F94" s="135">
        <f>SUMIFS('Sac Parça Detay'!$G$2:$G$544,'Sac Parça Detay'!$A$2:$A$544,A94)</f>
        <v>2</v>
      </c>
      <c r="G94" s="137">
        <f>SUMPRODUCT(('Sac Parça Detay'!$A$2:$A$544=A94)*'Sac Parça Detay'!$K$2:$K$544*'Sac Parça Detay'!$G$2:$G$544)</f>
        <v>0.130242</v>
      </c>
      <c r="H94" s="137">
        <f>SUMPRODUCT(('Sac Parça Detay'!$A$2:$A$544=A94)*'Sac Parça Detay'!$M$2:$M$544*'Sac Parça Detay'!$G$2:$G$544)</f>
        <v>0.16487938576153821</v>
      </c>
      <c r="I94" s="137">
        <f t="shared" si="6"/>
        <v>3.4637385761538214E-2</v>
      </c>
      <c r="J94" s="138">
        <f t="shared" si="7"/>
        <v>0.21007711547175206</v>
      </c>
      <c r="K94" s="139">
        <f>SUMIFS('Sac Parça Detay'!$T$2:$T$544,'Sac Parça Detay'!$A$2:$A$544,A94)</f>
        <v>5.1119984999999994</v>
      </c>
      <c r="L94" s="139">
        <f>SUMIFS('Sac Parça Detay'!$V$2:$V$544,'Sac Parça Detay'!$A$2:$A$544,A94)</f>
        <v>6.4715158911403741</v>
      </c>
      <c r="M94" s="139">
        <f>SUMIFS('Sac Parça Detay'!$U$2:$U$544,'Sac Parça Detay'!$A$2:$A$544,A94)</f>
        <v>1.3595173911403746</v>
      </c>
      <c r="N94" s="140">
        <f>SUMIFS('Sac Parça Detay'!$S$2:$S$544,'Sac Parça Detay'!$A$2:$A$544,A94)</f>
        <v>4.7322797485390868</v>
      </c>
      <c r="O94" s="140">
        <f t="shared" si="8"/>
        <v>4.7322797485390868</v>
      </c>
      <c r="P94" s="135">
        <v>0</v>
      </c>
      <c r="Q94" s="135" t="s">
        <v>1521</v>
      </c>
      <c r="R94" s="135" t="s">
        <v>130</v>
      </c>
      <c r="S94" s="135" t="s">
        <v>1520</v>
      </c>
    </row>
    <row r="95" spans="1:22" ht="15" customHeight="1" x14ac:dyDescent="0.25">
      <c r="A95" s="135" t="s">
        <v>589</v>
      </c>
      <c r="B95" s="135" t="s">
        <v>311</v>
      </c>
      <c r="C95" s="135" t="s">
        <v>119</v>
      </c>
      <c r="D95" s="136">
        <v>1</v>
      </c>
      <c r="E95" s="135">
        <f>COUNTIFS('Sac Parça Detay'!$A$2:$A$544,A95)</f>
        <v>2</v>
      </c>
      <c r="F95" s="135">
        <f>SUMIFS('Sac Parça Detay'!$G$2:$G$544,'Sac Parça Detay'!$A$2:$A$544,A95)</f>
        <v>2</v>
      </c>
      <c r="G95" s="137">
        <f>SUMPRODUCT(('Sac Parça Detay'!$A$2:$A$544=A95)*'Sac Parça Detay'!$K$2:$K$544*'Sac Parça Detay'!$G$2:$G$544)</f>
        <v>0.130242</v>
      </c>
      <c r="H95" s="137">
        <f>SUMPRODUCT(('Sac Parça Detay'!$A$2:$A$544=A95)*'Sac Parça Detay'!$M$2:$M$544*'Sac Parça Detay'!$G$2:$G$544)</f>
        <v>0.16487938576153821</v>
      </c>
      <c r="I95" s="137">
        <f t="shared" si="6"/>
        <v>3.4637385761538214E-2</v>
      </c>
      <c r="J95" s="138">
        <f t="shared" si="7"/>
        <v>0.21007711547175206</v>
      </c>
      <c r="K95" s="139">
        <f>SUMIFS('Sac Parça Detay'!$T$2:$T$544,'Sac Parça Detay'!$A$2:$A$544,A95)</f>
        <v>5.1119984999999994</v>
      </c>
      <c r="L95" s="139">
        <f>SUMIFS('Sac Parça Detay'!$V$2:$V$544,'Sac Parça Detay'!$A$2:$A$544,A95)</f>
        <v>6.4715158911403741</v>
      </c>
      <c r="M95" s="139">
        <f>SUMIFS('Sac Parça Detay'!$U$2:$U$544,'Sac Parça Detay'!$A$2:$A$544,A95)</f>
        <v>1.3595173911403746</v>
      </c>
      <c r="N95" s="140">
        <f>SUMIFS('Sac Parça Detay'!$S$2:$S$544,'Sac Parça Detay'!$A$2:$A$544,A95)</f>
        <v>4.7322797485390868</v>
      </c>
      <c r="O95" s="140">
        <f t="shared" si="8"/>
        <v>4.7322797485390868</v>
      </c>
      <c r="P95" s="135">
        <v>0</v>
      </c>
      <c r="Q95" s="135" t="s">
        <v>1521</v>
      </c>
      <c r="R95" s="135" t="s">
        <v>130</v>
      </c>
      <c r="S95" s="135" t="s">
        <v>1520</v>
      </c>
    </row>
    <row r="96" spans="1:22" ht="15" customHeight="1" x14ac:dyDescent="0.25">
      <c r="A96" s="135" t="s">
        <v>538</v>
      </c>
      <c r="B96" s="135" t="s">
        <v>235</v>
      </c>
      <c r="C96" s="135" t="s">
        <v>117</v>
      </c>
      <c r="D96" s="136">
        <v>10</v>
      </c>
      <c r="E96" s="135">
        <f>COUNTIFS('Sac Parça Detay'!$A$2:$A$544,A96)</f>
        <v>2</v>
      </c>
      <c r="F96" s="135">
        <f>SUMIFS('Sac Parça Detay'!$G$2:$G$544,'Sac Parça Detay'!$A$2:$A$544,A96)</f>
        <v>3</v>
      </c>
      <c r="G96" s="137">
        <f>SUMPRODUCT(('Sac Parça Detay'!$A$2:$A$544=A96)*'Sac Parça Detay'!$K$2:$K$544*'Sac Parça Detay'!$G$2:$G$544)</f>
        <v>5.0237999999999998E-2</v>
      </c>
      <c r="H96" s="137">
        <f>SUMPRODUCT(('Sac Parça Detay'!$A$2:$A$544=A96)*'Sac Parça Detay'!$M$2:$M$544*'Sac Parça Detay'!$G$2:$G$544)</f>
        <v>6.3415413150329211E-2</v>
      </c>
      <c r="I96" s="137">
        <f t="shared" si="6"/>
        <v>1.3177413150329213E-2</v>
      </c>
      <c r="J96" s="138">
        <f t="shared" si="7"/>
        <v>0.20779511629280942</v>
      </c>
      <c r="K96" s="139">
        <f>SUMIFS('Sac Parça Detay'!$T$2:$T$544,'Sac Parça Detay'!$A$2:$A$544,A96)</f>
        <v>4.6480163999999995</v>
      </c>
      <c r="L96" s="139">
        <f>SUMIFS('Sac Parça Detay'!$V$2:$V$544,'Sac Parça Detay'!$A$2:$A$544,A96)</f>
        <v>5.8708011870536945</v>
      </c>
      <c r="M96" s="139">
        <f>SUMIFS('Sac Parça Detay'!$U$2:$U$544,'Sac Parça Detay'!$A$2:$A$544,A96)</f>
        <v>1.2227847870536952</v>
      </c>
      <c r="N96" s="140">
        <f>SUMIFS('Sac Parça Detay'!$S$2:$S$544,'Sac Parça Detay'!$A$2:$A$544,A96)</f>
        <v>4.2964568375162928</v>
      </c>
      <c r="O96" s="140">
        <f t="shared" si="8"/>
        <v>42.964568375162926</v>
      </c>
      <c r="P96" s="135">
        <v>0</v>
      </c>
      <c r="Q96" s="135" t="s">
        <v>1521</v>
      </c>
      <c r="R96" s="135" t="s">
        <v>130</v>
      </c>
      <c r="S96" s="135" t="s">
        <v>1520</v>
      </c>
    </row>
    <row r="97" spans="1:19" ht="15" customHeight="1" x14ac:dyDescent="0.25">
      <c r="A97" s="135" t="s">
        <v>484</v>
      </c>
      <c r="B97" s="135" t="s">
        <v>166</v>
      </c>
      <c r="C97" s="135" t="s">
        <v>117</v>
      </c>
      <c r="D97" s="136">
        <v>58</v>
      </c>
      <c r="E97" s="135">
        <f>COUNTIFS('Sac Parça Detay'!$A$2:$A$544,A97)</f>
        <v>2</v>
      </c>
      <c r="F97" s="135">
        <f>SUMIFS('Sac Parça Detay'!$G$2:$G$544,'Sac Parça Detay'!$A$2:$A$544,A97)</f>
        <v>3</v>
      </c>
      <c r="G97" s="137">
        <f>SUMPRODUCT(('Sac Parça Detay'!$A$2:$A$544=A97)*'Sac Parça Detay'!$K$2:$K$544*'Sac Parça Detay'!$G$2:$G$544)</f>
        <v>4.8427999999999999E-2</v>
      </c>
      <c r="H97" s="137">
        <f>SUMPRODUCT(('Sac Parça Detay'!$A$2:$A$544=A97)*'Sac Parça Detay'!$M$2:$M$544*'Sac Parça Detay'!$G$2:$G$544)</f>
        <v>6.1196883984048961E-2</v>
      </c>
      <c r="I97" s="137">
        <f t="shared" si="6"/>
        <v>1.2768883984048962E-2</v>
      </c>
      <c r="J97" s="138">
        <f t="shared" si="7"/>
        <v>0.20865251876839327</v>
      </c>
      <c r="K97" s="139">
        <f>SUMIFS('Sac Parça Detay'!$T$2:$T$544,'Sac Parça Detay'!$A$2:$A$544,A97)</f>
        <v>4.5619176000000001</v>
      </c>
      <c r="L97" s="139">
        <f>SUMIFS('Sac Parça Detay'!$V$2:$V$544,'Sac Parça Detay'!$A$2:$A$544,A97)</f>
        <v>5.7647464712974124</v>
      </c>
      <c r="M97" s="139">
        <f>SUMIFS('Sac Parça Detay'!$U$2:$U$544,'Sac Parça Detay'!$A$2:$A$544,A97)</f>
        <v>1.2028288712974122</v>
      </c>
      <c r="N97" s="140">
        <f>SUMIFS('Sac Parça Detay'!$S$2:$S$544,'Sac Parça Detay'!$A$2:$A$544,A97)</f>
        <v>4.2181440918860496</v>
      </c>
      <c r="O97" s="140">
        <f t="shared" si="8"/>
        <v>244.65235732939087</v>
      </c>
      <c r="P97" s="135">
        <v>0</v>
      </c>
      <c r="Q97" s="135" t="s">
        <v>1521</v>
      </c>
      <c r="R97" s="135" t="s">
        <v>130</v>
      </c>
      <c r="S97" s="135" t="s">
        <v>1520</v>
      </c>
    </row>
    <row r="98" spans="1:19" ht="15" customHeight="1" x14ac:dyDescent="0.25">
      <c r="A98" s="135" t="s">
        <v>471</v>
      </c>
      <c r="B98" s="135" t="s">
        <v>149</v>
      </c>
      <c r="C98" s="135" t="s">
        <v>107</v>
      </c>
      <c r="D98" s="136">
        <v>86</v>
      </c>
      <c r="E98" s="135">
        <f>COUNTIFS('Sac Parça Detay'!$A$2:$A$544,A98)</f>
        <v>3</v>
      </c>
      <c r="F98" s="135">
        <f>SUMIFS('Sac Parça Detay'!$G$2:$G$544,'Sac Parça Detay'!$A$2:$A$544,A98)</f>
        <v>3</v>
      </c>
      <c r="G98" s="137">
        <f>SUMPRODUCT(('Sac Parça Detay'!$A$2:$A$544=A98)*'Sac Parça Detay'!$K$2:$K$544*'Sac Parça Detay'!$G$2:$G$544)</f>
        <v>5.8981000000000006E-2</v>
      </c>
      <c r="H98" s="137">
        <f>SUMPRODUCT(('Sac Parça Detay'!$A$2:$A$544=A98)*'Sac Parça Detay'!$M$2:$M$544*'Sac Parça Detay'!$G$2:$G$544)</f>
        <v>7.4324418065473408E-2</v>
      </c>
      <c r="I98" s="137">
        <f t="shared" si="6"/>
        <v>1.5343418065473402E-2</v>
      </c>
      <c r="J98" s="138">
        <f t="shared" si="7"/>
        <v>0.20643845542062869</v>
      </c>
      <c r="K98" s="139">
        <f>SUMIFS('Sac Parça Detay'!$T$2:$T$544,'Sac Parça Detay'!$A$2:$A$544,A98)</f>
        <v>4.6300084999999997</v>
      </c>
      <c r="L98" s="139">
        <f>SUMIFS('Sac Parça Detay'!$V$2:$V$544,'Sac Parça Detay'!$A$2:$A$544,A98)</f>
        <v>5.8344668181396635</v>
      </c>
      <c r="M98" s="139">
        <f>SUMIFS('Sac Parça Detay'!$U$2:$U$544,'Sac Parça Detay'!$A$2:$A$544,A98)</f>
        <v>1.2044583181396635</v>
      </c>
      <c r="N98" s="140">
        <f>SUMIFS('Sac Parça Detay'!$S$2:$S$544,'Sac Parça Detay'!$A$2:$A$544,A98)</f>
        <v>4.2733870958478413</v>
      </c>
      <c r="O98" s="140">
        <f t="shared" si="8"/>
        <v>367.51129024291436</v>
      </c>
      <c r="P98" s="135">
        <v>0</v>
      </c>
      <c r="Q98" s="135" t="s">
        <v>1521</v>
      </c>
      <c r="R98" s="135" t="s">
        <v>130</v>
      </c>
      <c r="S98" s="135" t="s">
        <v>1520</v>
      </c>
    </row>
    <row r="99" spans="1:19" ht="15" customHeight="1" x14ac:dyDescent="0.25">
      <c r="A99" s="135" t="s">
        <v>586</v>
      </c>
      <c r="B99" s="135" t="s">
        <v>308</v>
      </c>
      <c r="C99" s="135" t="s">
        <v>194</v>
      </c>
      <c r="D99" s="136">
        <v>2</v>
      </c>
      <c r="E99" s="135">
        <f>COUNTIFS('Sac Parça Detay'!$A$2:$A$544,A99)</f>
        <v>3</v>
      </c>
      <c r="F99" s="135">
        <f>SUMIFS('Sac Parça Detay'!$G$2:$G$544,'Sac Parça Detay'!$A$2:$A$544,A99)</f>
        <v>3</v>
      </c>
      <c r="G99" s="137">
        <f>SUMPRODUCT(('Sac Parça Detay'!$A$2:$A$544=A99)*'Sac Parça Detay'!$K$2:$K$544*'Sac Parça Detay'!$G$2:$G$544)</f>
        <v>5.8242000000000002E-2</v>
      </c>
      <c r="H99" s="137">
        <f>SUMPRODUCT(('Sac Parça Detay'!$A$2:$A$544=A99)*'Sac Parça Detay'!$M$2:$M$544*'Sac Parça Detay'!$G$2:$G$544)</f>
        <v>7.1026829268292679E-2</v>
      </c>
      <c r="I99" s="137">
        <f t="shared" si="6"/>
        <v>1.2784829268292677E-2</v>
      </c>
      <c r="J99" s="138">
        <f t="shared" si="7"/>
        <v>0.17999999999999994</v>
      </c>
      <c r="K99" s="139">
        <f>SUMIFS('Sac Parça Detay'!$T$2:$T$544,'Sac Parça Detay'!$A$2:$A$544,A99)</f>
        <v>4.5719969999999996</v>
      </c>
      <c r="L99" s="139">
        <f>SUMIFS('Sac Parça Detay'!$V$2:$V$544,'Sac Parça Detay'!$A$2:$A$544,A99)</f>
        <v>5.5756060975609749</v>
      </c>
      <c r="M99" s="139">
        <f>SUMIFS('Sac Parça Detay'!$U$2:$U$544,'Sac Parça Detay'!$A$2:$A$544,A99)</f>
        <v>1.0036090975609753</v>
      </c>
      <c r="N99" s="140">
        <f>SUMIFS('Sac Parça Detay'!$S$2:$S$544,'Sac Parça Detay'!$A$2:$A$544,A99)</f>
        <v>4.1320309915742799</v>
      </c>
      <c r="O99" s="140">
        <f t="shared" si="8"/>
        <v>8.2640619831485598</v>
      </c>
      <c r="P99" s="135">
        <v>0</v>
      </c>
      <c r="Q99" s="135" t="s">
        <v>1521</v>
      </c>
      <c r="R99" s="135" t="s">
        <v>130</v>
      </c>
      <c r="S99" s="135" t="s">
        <v>1520</v>
      </c>
    </row>
    <row r="100" spans="1:19" ht="15" customHeight="1" x14ac:dyDescent="0.25">
      <c r="A100" s="135" t="s">
        <v>584</v>
      </c>
      <c r="B100" s="135" t="s">
        <v>305</v>
      </c>
      <c r="C100" s="135" t="s">
        <v>107</v>
      </c>
      <c r="D100" s="136">
        <v>1</v>
      </c>
      <c r="E100" s="135">
        <f>COUNTIFS('Sac Parça Detay'!$A$2:$A$544,A100)</f>
        <v>4</v>
      </c>
      <c r="F100" s="135">
        <f>SUMIFS('Sac Parça Detay'!$G$2:$G$544,'Sac Parça Detay'!$A$2:$A$544,A100)</f>
        <v>5</v>
      </c>
      <c r="G100" s="137">
        <f>SUMPRODUCT(('Sac Parça Detay'!$A$2:$A$544=A100)*'Sac Parça Detay'!$K$2:$K$544*'Sac Parça Detay'!$G$2:$G$544)</f>
        <v>2.7566E-2</v>
      </c>
      <c r="H100" s="137">
        <f>SUMPRODUCT(('Sac Parça Detay'!$A$2:$A$544=A100)*'Sac Parça Detay'!$M$2:$M$544*'Sac Parça Detay'!$G$2:$G$544)</f>
        <v>3.3617073170731704E-2</v>
      </c>
      <c r="I100" s="137">
        <f t="shared" si="6"/>
        <v>6.0510731707317036E-3</v>
      </c>
      <c r="J100" s="138">
        <f t="shared" si="7"/>
        <v>0.17999999999999991</v>
      </c>
      <c r="K100" s="139">
        <f>SUMIFS('Sac Parça Detay'!$T$2:$T$544,'Sac Parça Detay'!$A$2:$A$544,A100)</f>
        <v>1.7289624999999997</v>
      </c>
      <c r="L100" s="139">
        <f>SUMIFS('Sac Parça Detay'!$V$2:$V$544,'Sac Parça Detay'!$A$2:$A$544,A100)</f>
        <v>2.1084908536585365</v>
      </c>
      <c r="M100" s="139">
        <f>SUMIFS('Sac Parça Detay'!$U$2:$U$544,'Sac Parça Detay'!$A$2:$A$544,A100)</f>
        <v>0.37952835365853643</v>
      </c>
      <c r="N100" s="140">
        <f>SUMIFS('Sac Parça Detay'!$S$2:$S$544,'Sac Parça Detay'!$A$2:$A$544,A100)</f>
        <v>1.5625834035476718</v>
      </c>
      <c r="O100" s="140">
        <f t="shared" si="8"/>
        <v>1.5625834035476718</v>
      </c>
      <c r="P100" s="135">
        <v>1</v>
      </c>
      <c r="Q100" s="135" t="s">
        <v>1521</v>
      </c>
      <c r="R100" s="135" t="s">
        <v>130</v>
      </c>
      <c r="S100" s="135" t="s">
        <v>1520</v>
      </c>
    </row>
    <row r="101" spans="1:19" ht="15" customHeight="1" x14ac:dyDescent="0.25">
      <c r="A101" s="135" t="s">
        <v>571</v>
      </c>
      <c r="B101" s="135" t="s">
        <v>284</v>
      </c>
      <c r="C101" s="135" t="s">
        <v>113</v>
      </c>
      <c r="D101" s="136">
        <v>5</v>
      </c>
      <c r="E101" s="135">
        <f>COUNTIFS('Sac Parça Detay'!$A$2:$A$544,A101)</f>
        <v>2</v>
      </c>
      <c r="F101" s="135">
        <f>SUMIFS('Sac Parça Detay'!$G$2:$G$544,'Sac Parça Detay'!$A$2:$A$544,A101)</f>
        <v>2</v>
      </c>
      <c r="G101" s="137">
        <f>SUMPRODUCT(('Sac Parça Detay'!$A$2:$A$544=A101)*'Sac Parça Detay'!$K$2:$K$544*'Sac Parça Detay'!$G$2:$G$544)</f>
        <v>1.1053E-2</v>
      </c>
      <c r="H101" s="137">
        <f>SUMPRODUCT(('Sac Parça Detay'!$A$2:$A$544=A101)*'Sac Parça Detay'!$M$2:$M$544*'Sac Parça Detay'!$G$2:$G$544)</f>
        <v>1.3479268292682927E-2</v>
      </c>
      <c r="I101" s="137">
        <f t="shared" ref="I101:I132" si="9">H101-G101</f>
        <v>2.426268292682927E-3</v>
      </c>
      <c r="J101" s="138">
        <f t="shared" ref="J101:J132" si="10">IF(H101=0,0,I101/H101)</f>
        <v>0.18000000000000002</v>
      </c>
      <c r="K101" s="139">
        <f>SUMIFS('Sac Parça Detay'!$T$2:$T$544,'Sac Parça Detay'!$A$2:$A$544,A101)</f>
        <v>0.75798030000000005</v>
      </c>
      <c r="L101" s="139">
        <f>SUMIFS('Sac Parça Detay'!$V$2:$V$544,'Sac Parça Detay'!$A$2:$A$544,A101)</f>
        <v>0.92436621951219511</v>
      </c>
      <c r="M101" s="139">
        <f>SUMIFS('Sac Parça Detay'!$U$2:$U$544,'Sac Parça Detay'!$A$2:$A$544,A101)</f>
        <v>0.16638591951219509</v>
      </c>
      <c r="N101" s="140">
        <f>SUMIFS('Sac Parça Detay'!$S$2:$S$544,'Sac Parça Detay'!$A$2:$A$544,A101)</f>
        <v>0.6850394019512196</v>
      </c>
      <c r="O101" s="140">
        <f t="shared" ref="O101:O132" si="11">N101*D101</f>
        <v>3.425197009756098</v>
      </c>
      <c r="P101" s="135">
        <v>1</v>
      </c>
      <c r="Q101" s="135" t="s">
        <v>1521</v>
      </c>
      <c r="R101" s="135" t="s">
        <v>130</v>
      </c>
      <c r="S101" s="135" t="s">
        <v>1520</v>
      </c>
    </row>
    <row r="102" spans="1:19" ht="15" customHeight="1" x14ac:dyDescent="0.25">
      <c r="A102" s="135" t="s">
        <v>569</v>
      </c>
      <c r="B102" s="135" t="s">
        <v>282</v>
      </c>
      <c r="C102" s="135" t="s">
        <v>117</v>
      </c>
      <c r="D102" s="136">
        <v>5</v>
      </c>
      <c r="E102" s="135">
        <f>COUNTIFS('Sac Parça Detay'!$A$2:$A$544,A102)</f>
        <v>2</v>
      </c>
      <c r="F102" s="135">
        <f>SUMIFS('Sac Parça Detay'!$G$2:$G$544,'Sac Parça Detay'!$A$2:$A$544,A102)</f>
        <v>2</v>
      </c>
      <c r="G102" s="137">
        <f>SUMPRODUCT(('Sac Parça Detay'!$A$2:$A$544=A102)*'Sac Parça Detay'!$K$2:$K$544*'Sac Parça Detay'!$G$2:$G$544)</f>
        <v>0.18443399999999999</v>
      </c>
      <c r="H102" s="137">
        <f>SUMPRODUCT(('Sac Parça Detay'!$A$2:$A$544=A102)*'Sac Parça Detay'!$M$2:$M$544*'Sac Parça Detay'!$G$2:$G$544)</f>
        <v>0.23334889795666017</v>
      </c>
      <c r="I102" s="137">
        <f t="shared" si="9"/>
        <v>4.891489795666018E-2</v>
      </c>
      <c r="J102" s="138">
        <f t="shared" si="10"/>
        <v>0.20962129405790095</v>
      </c>
      <c r="K102" s="139">
        <f>SUMIFS('Sac Parça Detay'!$T$2:$T$544,'Sac Parça Detay'!$A$2:$A$544,A102)</f>
        <v>4.4770276999999998</v>
      </c>
      <c r="L102" s="139">
        <f>SUMIFS('Sac Parça Detay'!$V$2:$V$544,'Sac Parça Detay'!$A$2:$A$544,A102)</f>
        <v>5.6583019127330045</v>
      </c>
      <c r="M102" s="139">
        <f>SUMIFS('Sac Parça Detay'!$U$2:$U$544,'Sac Parça Detay'!$A$2:$A$544,A102)</f>
        <v>1.1812742127330051</v>
      </c>
      <c r="N102" s="140">
        <f>SUMIFS('Sac Parça Detay'!$S$2:$S$544,'Sac Parça Detay'!$A$2:$A$544,A102)</f>
        <v>4.1400426969283295</v>
      </c>
      <c r="O102" s="140">
        <f t="shared" si="11"/>
        <v>20.700213484641647</v>
      </c>
      <c r="P102" s="135">
        <v>0</v>
      </c>
      <c r="Q102" s="135" t="s">
        <v>1521</v>
      </c>
      <c r="R102" s="135" t="s">
        <v>130</v>
      </c>
      <c r="S102" s="135" t="s">
        <v>1520</v>
      </c>
    </row>
    <row r="103" spans="1:19" ht="15" customHeight="1" x14ac:dyDescent="0.25">
      <c r="A103" s="135" t="s">
        <v>524</v>
      </c>
      <c r="B103" s="135" t="s">
        <v>219</v>
      </c>
      <c r="C103" s="135" t="s">
        <v>117</v>
      </c>
      <c r="D103" s="136">
        <v>13</v>
      </c>
      <c r="E103" s="135">
        <f>COUNTIFS('Sac Parça Detay'!$A$2:$A$544,A103)</f>
        <v>2</v>
      </c>
      <c r="F103" s="135">
        <f>SUMIFS('Sac Parça Detay'!$G$2:$G$544,'Sac Parça Detay'!$A$2:$A$544,A103)</f>
        <v>2</v>
      </c>
      <c r="G103" s="137">
        <f>SUMPRODUCT(('Sac Parça Detay'!$A$2:$A$544=A103)*'Sac Parça Detay'!$K$2:$K$544*'Sac Parça Detay'!$G$2:$G$544)</f>
        <v>0.112637</v>
      </c>
      <c r="H103" s="137">
        <f>SUMPRODUCT(('Sac Parça Detay'!$A$2:$A$544=A103)*'Sac Parça Detay'!$M$2:$M$544*'Sac Parça Detay'!$G$2:$G$544)</f>
        <v>0.14275918884664132</v>
      </c>
      <c r="I103" s="137">
        <f t="shared" si="9"/>
        <v>3.0122188846641321E-2</v>
      </c>
      <c r="J103" s="138">
        <f t="shared" si="10"/>
        <v>0.21100000000000002</v>
      </c>
      <c r="K103" s="139">
        <f>SUMIFS('Sac Parça Detay'!$T$2:$T$544,'Sac Parça Detay'!$A$2:$A$544,A103)</f>
        <v>4.421002249999999</v>
      </c>
      <c r="L103" s="139">
        <f>SUMIFS('Sac Parça Detay'!$V$2:$V$544,'Sac Parça Detay'!$A$2:$A$544,A103)</f>
        <v>5.6032981622306703</v>
      </c>
      <c r="M103" s="139">
        <f>SUMIFS('Sac Parça Detay'!$U$2:$U$544,'Sac Parça Detay'!$A$2:$A$544,A103)</f>
        <v>1.1822959122306713</v>
      </c>
      <c r="N103" s="140">
        <f>SUMIFS('Sac Parça Detay'!$S$2:$S$544,'Sac Parça Detay'!$A$2:$A$544,A103)</f>
        <v>4.0957053221454087</v>
      </c>
      <c r="O103" s="140">
        <f t="shared" si="11"/>
        <v>53.244169187890314</v>
      </c>
      <c r="P103" s="135">
        <v>0</v>
      </c>
      <c r="Q103" s="135" t="s">
        <v>1521</v>
      </c>
      <c r="R103" s="135" t="s">
        <v>130</v>
      </c>
      <c r="S103" s="135" t="s">
        <v>1520</v>
      </c>
    </row>
    <row r="104" spans="1:19" ht="15" customHeight="1" x14ac:dyDescent="0.25">
      <c r="A104" s="135" t="s">
        <v>591</v>
      </c>
      <c r="B104" s="135" t="s">
        <v>314</v>
      </c>
      <c r="C104" s="135" t="s">
        <v>156</v>
      </c>
      <c r="D104" s="136">
        <v>1</v>
      </c>
      <c r="E104" s="135">
        <f>COUNTIFS('Sac Parça Detay'!$A$2:$A$544,A104)</f>
        <v>2</v>
      </c>
      <c r="F104" s="135">
        <f>SUMIFS('Sac Parça Detay'!$G$2:$G$544,'Sac Parça Detay'!$A$2:$A$544,A104)</f>
        <v>2</v>
      </c>
      <c r="G104" s="137">
        <f>SUMPRODUCT(('Sac Parça Detay'!$A$2:$A$544=A104)*'Sac Parça Detay'!$K$2:$K$544*'Sac Parça Detay'!$G$2:$G$544)</f>
        <v>1.1053E-2</v>
      </c>
      <c r="H104" s="137">
        <f>SUMPRODUCT(('Sac Parça Detay'!$A$2:$A$544=A104)*'Sac Parça Detay'!$M$2:$M$544*'Sac Parça Detay'!$G$2:$G$544)</f>
        <v>1.3479268292682927E-2</v>
      </c>
      <c r="I104" s="137">
        <f t="shared" si="9"/>
        <v>2.426268292682927E-3</v>
      </c>
      <c r="J104" s="138">
        <f t="shared" si="10"/>
        <v>0.18000000000000002</v>
      </c>
      <c r="K104" s="139">
        <f>SUMIFS('Sac Parça Detay'!$T$2:$T$544,'Sac Parça Detay'!$A$2:$A$544,A104)</f>
        <v>0.75798030000000005</v>
      </c>
      <c r="L104" s="139">
        <f>SUMIFS('Sac Parça Detay'!$V$2:$V$544,'Sac Parça Detay'!$A$2:$A$544,A104)</f>
        <v>0.92436621951219511</v>
      </c>
      <c r="M104" s="139">
        <f>SUMIFS('Sac Parça Detay'!$U$2:$U$544,'Sac Parça Detay'!$A$2:$A$544,A104)</f>
        <v>0.16638591951219509</v>
      </c>
      <c r="N104" s="140">
        <f>SUMIFS('Sac Parça Detay'!$S$2:$S$544,'Sac Parça Detay'!$A$2:$A$544,A104)</f>
        <v>0.6850394019512196</v>
      </c>
      <c r="O104" s="140">
        <f t="shared" si="11"/>
        <v>0.6850394019512196</v>
      </c>
      <c r="P104" s="135">
        <v>1</v>
      </c>
      <c r="Q104" s="135" t="s">
        <v>1521</v>
      </c>
      <c r="R104" s="135" t="s">
        <v>130</v>
      </c>
      <c r="S104" s="135" t="s">
        <v>1520</v>
      </c>
    </row>
    <row r="105" spans="1:19" ht="15" customHeight="1" x14ac:dyDescent="0.25">
      <c r="A105" s="135" t="s">
        <v>634</v>
      </c>
      <c r="B105" s="135" t="s">
        <v>370</v>
      </c>
      <c r="C105" s="135" t="s">
        <v>107</v>
      </c>
      <c r="D105" s="136">
        <v>2</v>
      </c>
      <c r="E105" s="135">
        <f>COUNTIFS('Sac Parça Detay'!$A$2:$A$544,A105)</f>
        <v>1</v>
      </c>
      <c r="F105" s="135">
        <f>SUMIFS('Sac Parça Detay'!$G$2:$G$544,'Sac Parça Detay'!$A$2:$A$544,A105)</f>
        <v>2</v>
      </c>
      <c r="G105" s="137">
        <f>SUMPRODUCT(('Sac Parça Detay'!$A$2:$A$544=A105)*'Sac Parça Detay'!$K$2:$K$544*'Sac Parça Detay'!$G$2:$G$544)</f>
        <v>6.1659999999999996E-3</v>
      </c>
      <c r="H105" s="137">
        <f>SUMPRODUCT(('Sac Parça Detay'!$A$2:$A$544=A105)*'Sac Parça Detay'!$M$2:$M$544*'Sac Parça Detay'!$G$2:$G$544)</f>
        <v>7.5195121951219497E-3</v>
      </c>
      <c r="I105" s="137">
        <f t="shared" si="9"/>
        <v>1.3535121951219501E-3</v>
      </c>
      <c r="J105" s="138">
        <f t="shared" si="10"/>
        <v>0.17999999999999988</v>
      </c>
      <c r="K105" s="139">
        <f>SUMIFS('Sac Parça Detay'!$T$2:$T$544,'Sac Parça Detay'!$A$2:$A$544,A105)</f>
        <v>0.48403099999999993</v>
      </c>
      <c r="L105" s="139">
        <f>SUMIFS('Sac Parça Detay'!$V$2:$V$544,'Sac Parça Detay'!$A$2:$A$544,A105)</f>
        <v>0.59028170731707297</v>
      </c>
      <c r="M105" s="139">
        <f>SUMIFS('Sac Parça Detay'!$U$2:$U$544,'Sac Parça Detay'!$A$2:$A$544,A105)</f>
        <v>0.10625070731707308</v>
      </c>
      <c r="N105" s="140">
        <f>SUMIFS('Sac Parça Detay'!$S$2:$S$544,'Sac Parça Detay'!$A$2:$A$544,A105)</f>
        <v>0.43745240709534366</v>
      </c>
      <c r="O105" s="140">
        <f t="shared" si="11"/>
        <v>0.87490481419068733</v>
      </c>
      <c r="P105" s="135">
        <v>1</v>
      </c>
      <c r="Q105" s="135" t="s">
        <v>1521</v>
      </c>
      <c r="R105" s="135" t="s">
        <v>130</v>
      </c>
      <c r="S105" s="135" t="s">
        <v>1520</v>
      </c>
    </row>
    <row r="106" spans="1:19" ht="15" customHeight="1" x14ac:dyDescent="0.25">
      <c r="A106" s="135" t="s">
        <v>493</v>
      </c>
      <c r="B106" s="135" t="s">
        <v>176</v>
      </c>
      <c r="C106" s="135" t="s">
        <v>99</v>
      </c>
      <c r="D106" s="136">
        <v>61</v>
      </c>
      <c r="E106" s="135">
        <f>COUNTIFS('Sac Parça Detay'!$A$2:$A$544,A106)</f>
        <v>2</v>
      </c>
      <c r="F106" s="135">
        <f>SUMIFS('Sac Parça Detay'!$G$2:$G$544,'Sac Parça Detay'!$A$2:$A$544,A106)</f>
        <v>2</v>
      </c>
      <c r="G106" s="137">
        <f>SUMPRODUCT(('Sac Parça Detay'!$A$2:$A$544=A106)*'Sac Parça Detay'!$K$2:$K$544*'Sac Parça Detay'!$G$2:$G$544)</f>
        <v>1.9410999999999998E-2</v>
      </c>
      <c r="H106" s="137">
        <f>SUMPRODUCT(('Sac Parça Detay'!$A$2:$A$544=A106)*'Sac Parça Detay'!$M$2:$M$544*'Sac Parça Detay'!$G$2:$G$544)</f>
        <v>2.3671951219512193E-2</v>
      </c>
      <c r="I106" s="137">
        <f t="shared" si="9"/>
        <v>4.2609512195121955E-3</v>
      </c>
      <c r="J106" s="138">
        <f t="shared" si="10"/>
        <v>0.18000000000000002</v>
      </c>
      <c r="K106" s="139">
        <f>SUMIFS('Sac Parça Detay'!$T$2:$T$544,'Sac Parça Detay'!$A$2:$A$544,A106)</f>
        <v>1.2190107999999999</v>
      </c>
      <c r="L106" s="139">
        <f>SUMIFS('Sac Parça Detay'!$V$2:$V$544,'Sac Parça Detay'!$A$2:$A$544,A106)</f>
        <v>1.4865985365853658</v>
      </c>
      <c r="M106" s="139">
        <f>SUMIFS('Sac Parça Detay'!$U$2:$U$544,'Sac Parça Detay'!$A$2:$A$544,A106)</f>
        <v>0.26758773658536578</v>
      </c>
      <c r="N106" s="140">
        <f>SUMIFS('Sac Parça Detay'!$S$2:$S$544,'Sac Parça Detay'!$A$2:$A$544,A106)</f>
        <v>1.1017046609312637</v>
      </c>
      <c r="O106" s="140">
        <f t="shared" si="11"/>
        <v>67.203984316807095</v>
      </c>
      <c r="P106" s="135">
        <v>1</v>
      </c>
      <c r="Q106" s="135" t="s">
        <v>1521</v>
      </c>
      <c r="R106" s="135" t="s">
        <v>130</v>
      </c>
      <c r="S106" s="135" t="s">
        <v>1520</v>
      </c>
    </row>
    <row r="107" spans="1:19" ht="15" customHeight="1" x14ac:dyDescent="0.25">
      <c r="A107" s="135" t="s">
        <v>241</v>
      </c>
      <c r="B107" s="135" t="s">
        <v>241</v>
      </c>
      <c r="C107" s="135"/>
      <c r="D107" s="136">
        <v>50</v>
      </c>
      <c r="E107" s="135">
        <f>COUNTIFS('Sac Parça Detay'!$A$2:$A$544,A107)</f>
        <v>2</v>
      </c>
      <c r="F107" s="135">
        <f>SUMIFS('Sac Parça Detay'!$G$2:$G$544,'Sac Parça Detay'!$A$2:$A$544,A107)</f>
        <v>3</v>
      </c>
      <c r="G107" s="137">
        <f>SUMPRODUCT(('Sac Parça Detay'!$A$2:$A$544=A107)*'Sac Parça Detay'!$K$2:$K$544*'Sac Parça Detay'!$G$2:$G$544)</f>
        <v>6.4407000000000006E-2</v>
      </c>
      <c r="H107" s="137">
        <f>SUMPRODUCT(('Sac Parça Detay'!$A$2:$A$544=A107)*'Sac Parça Detay'!$M$2:$M$544*'Sac Parça Detay'!$G$2:$G$544)</f>
        <v>7.8545121951219501E-2</v>
      </c>
      <c r="I107" s="137">
        <f t="shared" si="9"/>
        <v>1.4138121951219496E-2</v>
      </c>
      <c r="J107" s="138">
        <f t="shared" si="10"/>
        <v>0.1799999999999998</v>
      </c>
      <c r="K107" s="139">
        <f>SUMIFS('Sac Parça Detay'!$T$2:$T$544,'Sac Parça Detay'!$A$2:$A$544,A107)</f>
        <v>5.0559494999999997</v>
      </c>
      <c r="L107" s="139">
        <f>SUMIFS('Sac Parça Detay'!$V$2:$V$544,'Sac Parça Detay'!$A$2:$A$544,A107)</f>
        <v>6.1657920731707305</v>
      </c>
      <c r="M107" s="139">
        <f>SUMIFS('Sac Parça Detay'!$U$2:$U$544,'Sac Parça Detay'!$A$2:$A$544,A107)</f>
        <v>1.1098425731707309</v>
      </c>
      <c r="N107" s="140">
        <f>SUMIFS('Sac Parça Detay'!$S$2:$S$544,'Sac Parça Detay'!$A$2:$A$544,A107)</f>
        <v>4.5694124527716191</v>
      </c>
      <c r="O107" s="140">
        <f t="shared" si="11"/>
        <v>228.47062263858095</v>
      </c>
      <c r="P107" s="135">
        <v>0</v>
      </c>
      <c r="Q107" s="135" t="s">
        <v>1521</v>
      </c>
      <c r="R107" s="135" t="s">
        <v>130</v>
      </c>
      <c r="S107" s="135" t="s">
        <v>1520</v>
      </c>
    </row>
    <row r="108" spans="1:19" ht="15" customHeight="1" x14ac:dyDescent="0.25">
      <c r="A108" s="135" t="s">
        <v>507</v>
      </c>
      <c r="B108" s="135" t="s">
        <v>199</v>
      </c>
      <c r="C108" s="135" t="s">
        <v>139</v>
      </c>
      <c r="D108" s="136">
        <v>80</v>
      </c>
      <c r="E108" s="135">
        <f>COUNTIFS('Sac Parça Detay'!$A$2:$A$544,A108)</f>
        <v>2</v>
      </c>
      <c r="F108" s="135">
        <f>SUMIFS('Sac Parça Detay'!$G$2:$G$544,'Sac Parça Detay'!$A$2:$A$544,A108)</f>
        <v>3</v>
      </c>
      <c r="G108" s="137">
        <f>SUMPRODUCT(('Sac Parça Detay'!$A$2:$A$544=A108)*'Sac Parça Detay'!$K$2:$K$544*'Sac Parça Detay'!$G$2:$G$544)</f>
        <v>5.2140000000000006E-2</v>
      </c>
      <c r="H108" s="137">
        <f>SUMPRODUCT(('Sac Parça Detay'!$A$2:$A$544=A108)*'Sac Parça Detay'!$M$2:$M$544*'Sac Parça Detay'!$G$2:$G$544)</f>
        <v>6.3585365853658538E-2</v>
      </c>
      <c r="I108" s="137">
        <f t="shared" si="9"/>
        <v>1.1445365853658532E-2</v>
      </c>
      <c r="J108" s="138">
        <f t="shared" si="10"/>
        <v>0.17999999999999991</v>
      </c>
      <c r="K108" s="139">
        <f>SUMIFS('Sac Parça Detay'!$T$2:$T$544,'Sac Parça Detay'!$A$2:$A$544,A108)</f>
        <v>4.0929900000000004</v>
      </c>
      <c r="L108" s="139">
        <f>SUMIFS('Sac Parça Detay'!$V$2:$V$544,'Sac Parça Detay'!$A$2:$A$544,A108)</f>
        <v>4.9914512195121947</v>
      </c>
      <c r="M108" s="139">
        <f>SUMIFS('Sac Parça Detay'!$U$2:$U$544,'Sac Parça Detay'!$A$2:$A$544,A108)</f>
        <v>0.89846121951219471</v>
      </c>
      <c r="N108" s="140">
        <f>SUMIFS('Sac Parça Detay'!$S$2:$S$544,'Sac Parça Detay'!$A$2:$A$544,A108)</f>
        <v>3.6991191219512194</v>
      </c>
      <c r="O108" s="140">
        <f t="shared" si="11"/>
        <v>295.92952975609757</v>
      </c>
      <c r="P108" s="135">
        <v>0</v>
      </c>
      <c r="Q108" s="135" t="s">
        <v>1521</v>
      </c>
      <c r="R108" s="135" t="s">
        <v>130</v>
      </c>
      <c r="S108" s="135" t="s">
        <v>1520</v>
      </c>
    </row>
    <row r="109" spans="1:19" ht="15" customHeight="1" x14ac:dyDescent="0.25">
      <c r="A109" s="135" t="s">
        <v>525</v>
      </c>
      <c r="B109" s="135" t="s">
        <v>220</v>
      </c>
      <c r="C109" s="135" t="s">
        <v>139</v>
      </c>
      <c r="D109" s="136">
        <v>16</v>
      </c>
      <c r="E109" s="135">
        <f>COUNTIFS('Sac Parça Detay'!$A$2:$A$544,A109)</f>
        <v>2</v>
      </c>
      <c r="F109" s="135">
        <f>SUMIFS('Sac Parça Detay'!$G$2:$G$544,'Sac Parça Detay'!$A$2:$A$544,A109)</f>
        <v>2</v>
      </c>
      <c r="G109" s="137">
        <f>SUMPRODUCT(('Sac Parça Detay'!$A$2:$A$544=A109)*'Sac Parça Detay'!$K$2:$K$544*'Sac Parça Detay'!$G$2:$G$544)</f>
        <v>6.1904000000000001E-2</v>
      </c>
      <c r="H109" s="137">
        <f>SUMPRODUCT(('Sac Parça Detay'!$A$2:$A$544=A109)*'Sac Parça Detay'!$M$2:$M$544*'Sac Parça Detay'!$G$2:$G$544)</f>
        <v>7.8173762712912293E-2</v>
      </c>
      <c r="I109" s="137">
        <f t="shared" si="9"/>
        <v>1.6269762712912292E-2</v>
      </c>
      <c r="J109" s="138">
        <f t="shared" si="10"/>
        <v>0.20812306006891165</v>
      </c>
      <c r="K109" s="139">
        <f>SUMIFS('Sac Parça Detay'!$T$2:$T$544,'Sac Parça Detay'!$A$2:$A$544,A109)</f>
        <v>3.9809704999999997</v>
      </c>
      <c r="L109" s="139">
        <f>SUMIFS('Sac Parça Detay'!$V$2:$V$544,'Sac Parça Detay'!$A$2:$A$544,A109)</f>
        <v>5.0232138837367453</v>
      </c>
      <c r="M109" s="139">
        <f>SUMIFS('Sac Parça Detay'!$U$2:$U$544,'Sac Parça Detay'!$A$2:$A$544,A109)</f>
        <v>1.0422433837367457</v>
      </c>
      <c r="N109" s="140">
        <f>SUMIFS('Sac Parça Detay'!$S$2:$S$544,'Sac Parça Detay'!$A$2:$A$544,A109)</f>
        <v>3.6774732723119161</v>
      </c>
      <c r="O109" s="140">
        <f t="shared" si="11"/>
        <v>58.839572356990658</v>
      </c>
      <c r="P109" s="135">
        <v>0</v>
      </c>
      <c r="Q109" s="135" t="s">
        <v>1521</v>
      </c>
      <c r="R109" s="135" t="s">
        <v>130</v>
      </c>
      <c r="S109" s="135" t="s">
        <v>1520</v>
      </c>
    </row>
    <row r="110" spans="1:19" ht="15" customHeight="1" x14ac:dyDescent="0.25">
      <c r="A110" s="135" t="s">
        <v>441</v>
      </c>
      <c r="B110" s="135" t="s">
        <v>89</v>
      </c>
      <c r="C110" s="135" t="s">
        <v>90</v>
      </c>
      <c r="D110" s="136">
        <v>139</v>
      </c>
      <c r="E110" s="135">
        <f>COUNTIFS('Sac Parça Detay'!$A$2:$A$544,A110)</f>
        <v>3</v>
      </c>
      <c r="F110" s="135">
        <f>SUMIFS('Sac Parça Detay'!$G$2:$G$544,'Sac Parça Detay'!$A$2:$A$544,A110)</f>
        <v>17</v>
      </c>
      <c r="G110" s="137">
        <f>SUMPRODUCT(('Sac Parça Detay'!$A$2:$A$544=A110)*'Sac Parça Detay'!$K$2:$K$544*'Sac Parça Detay'!$G$2:$G$544)</f>
        <v>0.17315800000000001</v>
      </c>
      <c r="H110" s="137">
        <f>SUMPRODUCT(('Sac Parça Detay'!$A$2:$A$544=A110)*'Sac Parça Detay'!$M$2:$M$544*'Sac Parça Detay'!$G$2:$G$544)</f>
        <v>0.21416728801508544</v>
      </c>
      <c r="I110" s="137">
        <f t="shared" si="9"/>
        <v>4.1009288015085438E-2</v>
      </c>
      <c r="J110" s="138">
        <f t="shared" si="10"/>
        <v>0.19148250134351441</v>
      </c>
      <c r="K110" s="139">
        <f>SUMIFS('Sac Parça Detay'!$T$2:$T$544,'Sac Parça Detay'!$A$2:$A$544,A110)</f>
        <v>4.0778708999999997</v>
      </c>
      <c r="L110" s="139">
        <f>SUMIFS('Sac Parça Detay'!$V$2:$V$544,'Sac Parça Detay'!$A$2:$A$544,A110)</f>
        <v>5.0436396327552622</v>
      </c>
      <c r="M110" s="139">
        <f>SUMIFS('Sac Parça Detay'!$U$2:$U$544,'Sac Parça Detay'!$A$2:$A$544,A110)</f>
        <v>0.96576873275526276</v>
      </c>
      <c r="N110" s="140">
        <f>SUMIFS('Sac Parça Detay'!$S$2:$S$544,'Sac Parça Detay'!$A$2:$A$544,A110)</f>
        <v>3.7188419391206695</v>
      </c>
      <c r="O110" s="140">
        <f t="shared" si="11"/>
        <v>516.9190295377731</v>
      </c>
      <c r="P110" s="135">
        <v>0</v>
      </c>
      <c r="Q110" s="135" t="s">
        <v>1521</v>
      </c>
      <c r="R110" s="135" t="s">
        <v>130</v>
      </c>
      <c r="S110" s="135" t="s">
        <v>1520</v>
      </c>
    </row>
    <row r="111" spans="1:19" ht="15" customHeight="1" x14ac:dyDescent="0.25">
      <c r="A111" s="135" t="s">
        <v>443</v>
      </c>
      <c r="B111" s="135" t="s">
        <v>92</v>
      </c>
      <c r="C111" s="135" t="s">
        <v>93</v>
      </c>
      <c r="D111" s="136">
        <v>652</v>
      </c>
      <c r="E111" s="135">
        <f>COUNTIFS('Sac Parça Detay'!$A$2:$A$544,A111)</f>
        <v>3</v>
      </c>
      <c r="F111" s="135">
        <f>SUMIFS('Sac Parça Detay'!$G$2:$G$544,'Sac Parça Detay'!$A$2:$A$544,A111)</f>
        <v>3</v>
      </c>
      <c r="G111" s="137">
        <f>SUMPRODUCT(('Sac Parça Detay'!$A$2:$A$544=A111)*'Sac Parça Detay'!$K$2:$K$544*'Sac Parça Detay'!$G$2:$G$544)</f>
        <v>2.3408000000000002E-2</v>
      </c>
      <c r="H111" s="137">
        <f>SUMPRODUCT(('Sac Parça Detay'!$A$2:$A$544=A111)*'Sac Parça Detay'!$M$2:$M$544*'Sac Parça Detay'!$G$2:$G$544)</f>
        <v>2.8546341463414629E-2</v>
      </c>
      <c r="I111" s="137">
        <f t="shared" si="9"/>
        <v>5.1383414634146272E-3</v>
      </c>
      <c r="J111" s="138">
        <f t="shared" si="10"/>
        <v>0.1799999999999998</v>
      </c>
      <c r="K111" s="139">
        <f>SUMIFS('Sac Parça Detay'!$T$2:$T$544,'Sac Parça Detay'!$A$2:$A$544,A111)</f>
        <v>1.2300321999999999</v>
      </c>
      <c r="L111" s="139">
        <f>SUMIFS('Sac Parça Detay'!$V$2:$V$544,'Sac Parça Detay'!$A$2:$A$544,A111)</f>
        <v>1.5000392682926826</v>
      </c>
      <c r="M111" s="139">
        <f>SUMIFS('Sac Parça Detay'!$U$2:$U$544,'Sac Parça Detay'!$A$2:$A$544,A111)</f>
        <v>0.27000706829268278</v>
      </c>
      <c r="N111" s="140">
        <f>SUMIFS('Sac Parça Detay'!$S$2:$S$544,'Sac Parça Detay'!$A$2:$A$544,A111)</f>
        <v>1.1116654650110864</v>
      </c>
      <c r="O111" s="140">
        <f t="shared" si="11"/>
        <v>724.80588318722835</v>
      </c>
      <c r="P111" s="135">
        <v>1</v>
      </c>
      <c r="Q111" s="135" t="s">
        <v>1521</v>
      </c>
      <c r="R111" s="135" t="s">
        <v>130</v>
      </c>
      <c r="S111" s="135" t="s">
        <v>1520</v>
      </c>
    </row>
    <row r="112" spans="1:19" ht="15" customHeight="1" x14ac:dyDescent="0.25">
      <c r="A112" s="135" t="s">
        <v>628</v>
      </c>
      <c r="B112" s="135" t="s">
        <v>362</v>
      </c>
      <c r="C112" s="135" t="s">
        <v>139</v>
      </c>
      <c r="D112" s="136">
        <v>3</v>
      </c>
      <c r="E112" s="135">
        <f>COUNTIFS('Sac Parça Detay'!$A$2:$A$544,A112)</f>
        <v>2</v>
      </c>
      <c r="F112" s="135">
        <f>SUMIFS('Sac Parça Detay'!$G$2:$G$544,'Sac Parça Detay'!$A$2:$A$544,A112)</f>
        <v>2</v>
      </c>
      <c r="G112" s="137">
        <f>SUMPRODUCT(('Sac Parça Detay'!$A$2:$A$544=A112)*'Sac Parça Detay'!$K$2:$K$544*'Sac Parça Detay'!$G$2:$G$544)</f>
        <v>0.103134</v>
      </c>
      <c r="H112" s="137">
        <f>SUMPRODUCT(('Sac Parça Detay'!$A$2:$A$544=A112)*'Sac Parça Detay'!$M$2:$M$544*'Sac Parça Detay'!$G$2:$G$544)</f>
        <v>0.13003975547930383</v>
      </c>
      <c r="I112" s="137">
        <f t="shared" si="9"/>
        <v>2.6905755479303822E-2</v>
      </c>
      <c r="J112" s="138">
        <f t="shared" si="10"/>
        <v>0.20690407621987528</v>
      </c>
      <c r="K112" s="139">
        <f>SUMIFS('Sac Parça Detay'!$T$2:$T$544,'Sac Parça Detay'!$A$2:$A$544,A112)</f>
        <v>4.0480094999999992</v>
      </c>
      <c r="L112" s="139">
        <f>SUMIFS('Sac Parça Detay'!$V$2:$V$544,'Sac Parça Detay'!$A$2:$A$544,A112)</f>
        <v>5.1040604025626752</v>
      </c>
      <c r="M112" s="139">
        <f>SUMIFS('Sac Parça Detay'!$U$2:$U$544,'Sac Parça Detay'!$A$2:$A$544,A112)</f>
        <v>1.0560509025626754</v>
      </c>
      <c r="N112" s="140">
        <f>SUMIFS('Sac Parça Detay'!$S$2:$S$544,'Sac Parça Detay'!$A$2:$A$544,A112)</f>
        <v>3.7376316630296285</v>
      </c>
      <c r="O112" s="140">
        <f t="shared" si="11"/>
        <v>11.212894989088886</v>
      </c>
      <c r="P112" s="135">
        <v>0</v>
      </c>
      <c r="Q112" s="135" t="s">
        <v>1521</v>
      </c>
      <c r="R112" s="135" t="s">
        <v>130</v>
      </c>
      <c r="S112" s="135" t="s">
        <v>1520</v>
      </c>
    </row>
    <row r="113" spans="1:22" ht="15" customHeight="1" x14ac:dyDescent="0.25">
      <c r="A113" s="135" t="s">
        <v>253</v>
      </c>
      <c r="B113" s="135" t="s">
        <v>253</v>
      </c>
      <c r="C113" s="135" t="s">
        <v>99</v>
      </c>
      <c r="D113" s="136">
        <v>48</v>
      </c>
      <c r="E113" s="135">
        <f>COUNTIFS('Sac Parça Detay'!$A$2:$A$544,A113)</f>
        <v>2</v>
      </c>
      <c r="F113" s="135">
        <f>SUMIFS('Sac Parça Detay'!$G$2:$G$544,'Sac Parça Detay'!$A$2:$A$544,A113)</f>
        <v>3</v>
      </c>
      <c r="G113" s="137">
        <f>SUMPRODUCT(('Sac Parça Detay'!$A$2:$A$544=A113)*'Sac Parça Detay'!$K$2:$K$544*'Sac Parça Detay'!$G$2:$G$544)</f>
        <v>5.1299999999999998E-2</v>
      </c>
      <c r="H113" s="137">
        <f>SUMPRODUCT(('Sac Parça Detay'!$A$2:$A$544=A113)*'Sac Parça Detay'!$M$2:$M$544*'Sac Parça Detay'!$G$2:$G$544)</f>
        <v>6.2560975609756098E-2</v>
      </c>
      <c r="I113" s="137">
        <f t="shared" si="9"/>
        <v>1.1260975609756099E-2</v>
      </c>
      <c r="J113" s="138">
        <f t="shared" si="10"/>
        <v>0.18000000000000002</v>
      </c>
      <c r="K113" s="139">
        <f>SUMIFS('Sac Parça Detay'!$T$2:$T$544,'Sac Parça Detay'!$A$2:$A$544,A113)</f>
        <v>4.02705</v>
      </c>
      <c r="L113" s="139">
        <f>SUMIFS('Sac Parça Detay'!$V$2:$V$544,'Sac Parça Detay'!$A$2:$A$544,A113)</f>
        <v>4.9110365853658537</v>
      </c>
      <c r="M113" s="139">
        <f>SUMIFS('Sac Parça Detay'!$U$2:$U$544,'Sac Parça Detay'!$A$2:$A$544,A113)</f>
        <v>0.88398658536585317</v>
      </c>
      <c r="N113" s="140">
        <f>SUMIFS('Sac Parça Detay'!$S$2:$S$544,'Sac Parça Detay'!$A$2:$A$544,A113)</f>
        <v>3.639524567627495</v>
      </c>
      <c r="O113" s="140">
        <f t="shared" si="11"/>
        <v>174.69717924611976</v>
      </c>
      <c r="P113" s="135">
        <v>0</v>
      </c>
      <c r="Q113" s="135" t="s">
        <v>1521</v>
      </c>
      <c r="R113" s="135" t="s">
        <v>130</v>
      </c>
      <c r="S113" s="135" t="s">
        <v>1520</v>
      </c>
    </row>
    <row r="114" spans="1:22" ht="15" customHeight="1" x14ac:dyDescent="0.25">
      <c r="A114" s="135" t="s">
        <v>575</v>
      </c>
      <c r="B114" s="135" t="s">
        <v>289</v>
      </c>
      <c r="C114" s="135" t="s">
        <v>119</v>
      </c>
      <c r="D114" s="136">
        <v>5</v>
      </c>
      <c r="E114" s="135">
        <f>COUNTIFS('Sac Parça Detay'!$A$2:$A$544,A114)</f>
        <v>1</v>
      </c>
      <c r="F114" s="135">
        <f>SUMIFS('Sac Parça Detay'!$G$2:$G$544,'Sac Parça Detay'!$A$2:$A$544,A114)</f>
        <v>2</v>
      </c>
      <c r="G114" s="137">
        <f>SUMPRODUCT(('Sac Parça Detay'!$A$2:$A$544=A114)*'Sac Parça Detay'!$K$2:$K$544*'Sac Parça Detay'!$G$2:$G$544)</f>
        <v>6.7000000000000002E-3</v>
      </c>
      <c r="H114" s="137">
        <f>SUMPRODUCT(('Sac Parça Detay'!$A$2:$A$544=A114)*'Sac Parça Detay'!$M$2:$M$544*'Sac Parça Detay'!$G$2:$G$544)</f>
        <v>8.1707317073170735E-3</v>
      </c>
      <c r="I114" s="137">
        <f t="shared" si="9"/>
        <v>1.4707317073170733E-3</v>
      </c>
      <c r="J114" s="138">
        <f t="shared" si="10"/>
        <v>0.18</v>
      </c>
      <c r="K114" s="139">
        <f>SUMIFS('Sac Parça Detay'!$T$2:$T$544,'Sac Parça Detay'!$A$2:$A$544,A114)</f>
        <v>0.52595000000000003</v>
      </c>
      <c r="L114" s="139">
        <f>SUMIFS('Sac Parça Detay'!$V$2:$V$544,'Sac Parça Detay'!$A$2:$A$544,A114)</f>
        <v>0.6414024390243902</v>
      </c>
      <c r="M114" s="139">
        <f>SUMIFS('Sac Parça Detay'!$U$2:$U$544,'Sac Parça Detay'!$A$2:$A$544,A114)</f>
        <v>0.11545243902439024</v>
      </c>
      <c r="N114" s="140">
        <f>SUMIFS('Sac Parça Detay'!$S$2:$S$544,'Sac Parça Detay'!$A$2:$A$544,A114)</f>
        <v>0.47533751662971174</v>
      </c>
      <c r="O114" s="140">
        <f t="shared" si="11"/>
        <v>2.3766875831485588</v>
      </c>
      <c r="P114" s="135">
        <v>1</v>
      </c>
      <c r="Q114" s="135" t="s">
        <v>1521</v>
      </c>
      <c r="R114" s="135" t="s">
        <v>130</v>
      </c>
      <c r="S114" s="135" t="s">
        <v>1520</v>
      </c>
    </row>
    <row r="115" spans="1:22" ht="15" customHeight="1" x14ac:dyDescent="0.25">
      <c r="A115" s="125" t="s">
        <v>501</v>
      </c>
      <c r="B115" s="125" t="s">
        <v>192</v>
      </c>
      <c r="C115" s="125" t="s">
        <v>107</v>
      </c>
      <c r="D115" s="126">
        <v>52</v>
      </c>
      <c r="E115" s="125">
        <f>COUNTIFS('Sac Parça Detay'!$A$2:$A$544,A115)</f>
        <v>2</v>
      </c>
      <c r="F115" s="125">
        <f>SUMIFS('Sac Parça Detay'!$G$2:$G$544,'Sac Parça Detay'!$A$2:$A$544,A115)</f>
        <v>2</v>
      </c>
      <c r="G115" s="127">
        <f>SUMPRODUCT(('Sac Parça Detay'!$A$2:$A$544=A115)*'Sac Parça Detay'!$K$2:$K$544*'Sac Parça Detay'!$G$2:$G$544)</f>
        <v>0.158086</v>
      </c>
      <c r="H115" s="127">
        <f>SUMPRODUCT(('Sac Parça Detay'!$A$2:$A$544=A115)*'Sac Parça Detay'!$M$2:$M$544*'Sac Parça Detay'!$G$2:$G$544)</f>
        <v>0.2030487959442332</v>
      </c>
      <c r="I115" s="127">
        <f t="shared" si="9"/>
        <v>4.4962795944233191E-2</v>
      </c>
      <c r="J115" s="128">
        <f t="shared" si="10"/>
        <v>0.22143837758379076</v>
      </c>
      <c r="K115" s="129">
        <f>SUMIFS('Sac Parça Detay'!$T$2:$T$544,'Sac Parça Detay'!$A$2:$A$544,A115)</f>
        <v>3.8568777000000001</v>
      </c>
      <c r="L115" s="129">
        <f>SUMIFS('Sac Parça Detay'!$V$2:$V$544,'Sac Parça Detay'!$A$2:$A$544,A115)</f>
        <v>4.9937491444866904</v>
      </c>
      <c r="M115" s="129">
        <f>SUMIFS('Sac Parça Detay'!$U$2:$U$544,'Sac Parça Detay'!$A$2:$A$544,A115)</f>
        <v>1.1368714444866916</v>
      </c>
      <c r="N115" s="130">
        <f>SUMIFS('Sac Parça Detay'!$S$2:$S$544,'Sac Parça Detay'!$A$2:$A$544,A115)</f>
        <v>3.6229322973937084</v>
      </c>
      <c r="O115" s="130">
        <f t="shared" si="11"/>
        <v>188.39247946447284</v>
      </c>
      <c r="P115" s="125">
        <v>0</v>
      </c>
      <c r="Q115" s="125" t="s">
        <v>1521</v>
      </c>
      <c r="R115" s="125" t="s">
        <v>130</v>
      </c>
      <c r="S115" s="125" t="s">
        <v>1520</v>
      </c>
      <c r="T115" s="132">
        <v>4.57152600350837</v>
      </c>
      <c r="U115" s="133">
        <f>N115-T115</f>
        <v>-0.94859370611466165</v>
      </c>
      <c r="V115" s="134" t="s">
        <v>1524</v>
      </c>
    </row>
    <row r="116" spans="1:22" ht="15" customHeight="1" x14ac:dyDescent="0.25">
      <c r="A116" s="135" t="s">
        <v>505</v>
      </c>
      <c r="B116" s="135" t="s">
        <v>197</v>
      </c>
      <c r="C116" s="135" t="s">
        <v>113</v>
      </c>
      <c r="D116" s="136">
        <v>19</v>
      </c>
      <c r="E116" s="135">
        <f>COUNTIFS('Sac Parça Detay'!$A$2:$A$544,A116)</f>
        <v>2</v>
      </c>
      <c r="F116" s="135">
        <f>SUMIFS('Sac Parça Detay'!$G$2:$G$544,'Sac Parça Detay'!$A$2:$A$544,A116)</f>
        <v>3</v>
      </c>
      <c r="G116" s="137">
        <f>SUMPRODUCT(('Sac Parça Detay'!$A$2:$A$544=A116)*'Sac Parça Detay'!$K$2:$K$544*'Sac Parça Detay'!$G$2:$G$544)</f>
        <v>8.1613000000000005E-2</v>
      </c>
      <c r="H116" s="137">
        <f>SUMPRODUCT(('Sac Parça Detay'!$A$2:$A$544=A116)*'Sac Parça Detay'!$M$2:$M$544*'Sac Parça Detay'!$G$2:$G$544)</f>
        <v>0.10343852978453739</v>
      </c>
      <c r="I116" s="137">
        <f t="shared" si="9"/>
        <v>2.182552978453739E-2</v>
      </c>
      <c r="J116" s="138">
        <f t="shared" si="10"/>
        <v>0.21099999999999999</v>
      </c>
      <c r="K116" s="139">
        <f>SUMIFS('Sac Parça Detay'!$T$2:$T$544,'Sac Parça Detay'!$A$2:$A$544,A116)</f>
        <v>3.8439722999999999</v>
      </c>
      <c r="L116" s="139">
        <f>SUMIFS('Sac Parça Detay'!$V$2:$V$544,'Sac Parça Detay'!$A$2:$A$544,A116)</f>
        <v>4.8719547528517113</v>
      </c>
      <c r="M116" s="139">
        <f>SUMIFS('Sac Parça Detay'!$U$2:$U$544,'Sac Parça Detay'!$A$2:$A$544,A116)</f>
        <v>1.027982452851711</v>
      </c>
      <c r="N116" s="140">
        <f>SUMIFS('Sac Parça Detay'!$S$2:$S$544,'Sac Parça Detay'!$A$2:$A$544,A116)</f>
        <v>3.5611331813480813</v>
      </c>
      <c r="O116" s="140">
        <f t="shared" si="11"/>
        <v>67.66153044561355</v>
      </c>
      <c r="P116" s="135">
        <v>0</v>
      </c>
      <c r="Q116" s="135" t="s">
        <v>1521</v>
      </c>
      <c r="R116" s="135" t="s">
        <v>130</v>
      </c>
      <c r="S116" s="135" t="s">
        <v>1520</v>
      </c>
    </row>
    <row r="117" spans="1:22" ht="15" customHeight="1" x14ac:dyDescent="0.25">
      <c r="A117" s="135" t="s">
        <v>567</v>
      </c>
      <c r="B117" s="135" t="s">
        <v>279</v>
      </c>
      <c r="C117" s="135"/>
      <c r="D117" s="136">
        <v>69</v>
      </c>
      <c r="E117" s="135">
        <f>COUNTIFS('Sac Parça Detay'!$A$2:$A$544,A117)</f>
        <v>1</v>
      </c>
      <c r="F117" s="135">
        <f>SUMIFS('Sac Parça Detay'!$G$2:$G$544,'Sac Parça Detay'!$A$2:$A$544,A117)</f>
        <v>1</v>
      </c>
      <c r="G117" s="137">
        <f>SUMPRODUCT(('Sac Parça Detay'!$A$2:$A$544=A117)*'Sac Parça Detay'!$K$2:$K$544*'Sac Parça Detay'!$G$2:$G$544)</f>
        <v>7.0699999999999999E-3</v>
      </c>
      <c r="H117" s="137">
        <f>SUMPRODUCT(('Sac Parça Detay'!$A$2:$A$544=A117)*'Sac Parça Detay'!$M$2:$M$544*'Sac Parça Detay'!$G$2:$G$544)</f>
        <v>8.6219512195121941E-3</v>
      </c>
      <c r="I117" s="137">
        <f t="shared" si="9"/>
        <v>1.5519512195121942E-3</v>
      </c>
      <c r="J117" s="138">
        <f t="shared" si="10"/>
        <v>0.17999999999999991</v>
      </c>
      <c r="K117" s="139">
        <f>SUMIFS('Sac Parça Detay'!$T$2:$T$544,'Sac Parça Detay'!$A$2:$A$544,A117)</f>
        <v>0.55499500000000002</v>
      </c>
      <c r="L117" s="139">
        <f>SUMIFS('Sac Parça Detay'!$V$2:$V$544,'Sac Parça Detay'!$A$2:$A$544,A117)</f>
        <v>0.67682317073170728</v>
      </c>
      <c r="M117" s="139">
        <f>SUMIFS('Sac Parça Detay'!$U$2:$U$544,'Sac Parça Detay'!$A$2:$A$544,A117)</f>
        <v>0.12182817073170724</v>
      </c>
      <c r="N117" s="140">
        <f>SUMIFS('Sac Parça Detay'!$S$2:$S$544,'Sac Parça Detay'!$A$2:$A$544,A117)</f>
        <v>0.50158749889135257</v>
      </c>
      <c r="O117" s="140">
        <f t="shared" si="11"/>
        <v>34.609537423503326</v>
      </c>
      <c r="P117" s="135">
        <v>1</v>
      </c>
      <c r="Q117" s="135" t="s">
        <v>1521</v>
      </c>
      <c r="R117" s="135" t="s">
        <v>130</v>
      </c>
      <c r="S117" s="135" t="s">
        <v>1520</v>
      </c>
    </row>
    <row r="118" spans="1:22" ht="15" customHeight="1" x14ac:dyDescent="0.25">
      <c r="A118" s="135" t="s">
        <v>599</v>
      </c>
      <c r="B118" s="135" t="s">
        <v>323</v>
      </c>
      <c r="C118" s="135" t="s">
        <v>139</v>
      </c>
      <c r="D118" s="136">
        <v>10</v>
      </c>
      <c r="E118" s="135">
        <f>COUNTIFS('Sac Parça Detay'!$A$2:$A$544,A118)</f>
        <v>2</v>
      </c>
      <c r="F118" s="135">
        <f>SUMIFS('Sac Parça Detay'!$G$2:$G$544,'Sac Parça Detay'!$A$2:$A$544,A118)</f>
        <v>5</v>
      </c>
      <c r="G118" s="137">
        <f>SUMPRODUCT(('Sac Parça Detay'!$A$2:$A$544=A118)*'Sac Parça Detay'!$K$2:$K$544*'Sac Parça Detay'!$G$2:$G$544)</f>
        <v>7.9001000000000002E-2</v>
      </c>
      <c r="H118" s="137">
        <f>SUMPRODUCT(('Sac Parça Detay'!$A$2:$A$544=A118)*'Sac Parça Detay'!$M$2:$M$544*'Sac Parça Detay'!$G$2:$G$544)</f>
        <v>9.9330514080806204E-2</v>
      </c>
      <c r="I118" s="137">
        <f t="shared" si="9"/>
        <v>2.0329514080806202E-2</v>
      </c>
      <c r="J118" s="138">
        <f t="shared" si="10"/>
        <v>0.20466534648424323</v>
      </c>
      <c r="K118" s="139">
        <f>SUMIFS('Sac Parça Detay'!$T$2:$T$544,'Sac Parça Detay'!$A$2:$A$544,A118)</f>
        <v>3.7209471000000001</v>
      </c>
      <c r="L118" s="139">
        <f>SUMIFS('Sac Parça Detay'!$V$2:$V$544,'Sac Parça Detay'!$A$2:$A$544,A118)</f>
        <v>4.6784672132059724</v>
      </c>
      <c r="M118" s="139">
        <f>SUMIFS('Sac Parça Detay'!$U$2:$U$544,'Sac Parça Detay'!$A$2:$A$544,A118)</f>
        <v>0.95752011320597208</v>
      </c>
      <c r="N118" s="140">
        <f>SUMIFS('Sac Parça Detay'!$S$2:$S$544,'Sac Parça Detay'!$A$2:$A$544,A118)</f>
        <v>3.4294035516973684</v>
      </c>
      <c r="O118" s="140">
        <f t="shared" si="11"/>
        <v>34.294035516973686</v>
      </c>
      <c r="P118" s="135">
        <v>0</v>
      </c>
      <c r="Q118" s="135" t="s">
        <v>1521</v>
      </c>
      <c r="R118" s="135" t="s">
        <v>130</v>
      </c>
      <c r="S118" s="135" t="s">
        <v>1520</v>
      </c>
    </row>
    <row r="119" spans="1:22" ht="15" customHeight="1" x14ac:dyDescent="0.25">
      <c r="A119" s="135" t="s">
        <v>621</v>
      </c>
      <c r="B119" s="135" t="s">
        <v>356</v>
      </c>
      <c r="C119" s="135" t="s">
        <v>139</v>
      </c>
      <c r="D119" s="136">
        <v>5</v>
      </c>
      <c r="E119" s="135">
        <f>COUNTIFS('Sac Parça Detay'!$A$2:$A$544,A119)</f>
        <v>2</v>
      </c>
      <c r="F119" s="135">
        <f>SUMIFS('Sac Parça Detay'!$G$2:$G$544,'Sac Parça Detay'!$A$2:$A$544,A119)</f>
        <v>2</v>
      </c>
      <c r="G119" s="137">
        <f>SUMPRODUCT(('Sac Parça Detay'!$A$2:$A$544=A119)*'Sac Parça Detay'!$K$2:$K$544*'Sac Parça Detay'!$G$2:$G$544)</f>
        <v>5.7993000000000003E-2</v>
      </c>
      <c r="H119" s="137">
        <f>SUMPRODUCT(('Sac Parça Detay'!$A$2:$A$544=A119)*'Sac Parça Detay'!$M$2:$M$544*'Sac Parça Detay'!$G$2:$G$544)</f>
        <v>7.3335588426226464E-2</v>
      </c>
      <c r="I119" s="137">
        <f t="shared" si="9"/>
        <v>1.5342588426226461E-2</v>
      </c>
      <c r="J119" s="138">
        <f t="shared" si="10"/>
        <v>0.20921068140962246</v>
      </c>
      <c r="K119" s="139">
        <f>SUMIFS('Sac Parça Detay'!$T$2:$T$544,'Sac Parça Detay'!$A$2:$A$544,A119)</f>
        <v>3.6419603999999999</v>
      </c>
      <c r="L119" s="139">
        <f>SUMIFS('Sac Parça Detay'!$V$2:$V$544,'Sac Parça Detay'!$A$2:$A$544,A119)</f>
        <v>4.6054749531670218</v>
      </c>
      <c r="M119" s="139">
        <f>SUMIFS('Sac Parça Detay'!$U$2:$U$544,'Sac Parça Detay'!$A$2:$A$544,A119)</f>
        <v>0.96351455316702195</v>
      </c>
      <c r="N119" s="140">
        <f>SUMIFS('Sac Parça Detay'!$S$2:$S$544,'Sac Parça Detay'!$A$2:$A$544,A119)</f>
        <v>3.3690479269516835</v>
      </c>
      <c r="O119" s="140">
        <f t="shared" si="11"/>
        <v>16.845239634758418</v>
      </c>
      <c r="P119" s="135">
        <v>0</v>
      </c>
      <c r="Q119" s="135" t="s">
        <v>1521</v>
      </c>
      <c r="R119" s="135" t="s">
        <v>130</v>
      </c>
      <c r="S119" s="135" t="s">
        <v>1520</v>
      </c>
    </row>
    <row r="120" spans="1:22" ht="15" customHeight="1" x14ac:dyDescent="0.25">
      <c r="A120" s="135" t="s">
        <v>622</v>
      </c>
      <c r="B120" s="135" t="s">
        <v>357</v>
      </c>
      <c r="C120" s="135" t="s">
        <v>139</v>
      </c>
      <c r="D120" s="136">
        <v>5</v>
      </c>
      <c r="E120" s="135">
        <f>COUNTIFS('Sac Parça Detay'!$A$2:$A$544,A120)</f>
        <v>2</v>
      </c>
      <c r="F120" s="135">
        <f>SUMIFS('Sac Parça Detay'!$G$2:$G$544,'Sac Parça Detay'!$A$2:$A$544,A120)</f>
        <v>2</v>
      </c>
      <c r="G120" s="137">
        <f>SUMPRODUCT(('Sac Parça Detay'!$A$2:$A$544=A120)*'Sac Parça Detay'!$K$2:$K$544*'Sac Parça Detay'!$G$2:$G$544)</f>
        <v>5.7993000000000003E-2</v>
      </c>
      <c r="H120" s="137">
        <f>SUMPRODUCT(('Sac Parça Detay'!$A$2:$A$544=A120)*'Sac Parça Detay'!$M$2:$M$544*'Sac Parça Detay'!$G$2:$G$544)</f>
        <v>7.3335588426226464E-2</v>
      </c>
      <c r="I120" s="137">
        <f t="shared" si="9"/>
        <v>1.5342588426226461E-2</v>
      </c>
      <c r="J120" s="138">
        <f t="shared" si="10"/>
        <v>0.20921068140962246</v>
      </c>
      <c r="K120" s="139">
        <f>SUMIFS('Sac Parça Detay'!$T$2:$T$544,'Sac Parça Detay'!$A$2:$A$544,A120)</f>
        <v>3.6419603999999999</v>
      </c>
      <c r="L120" s="139">
        <f>SUMIFS('Sac Parça Detay'!$V$2:$V$544,'Sac Parça Detay'!$A$2:$A$544,A120)</f>
        <v>4.6054749531670218</v>
      </c>
      <c r="M120" s="139">
        <f>SUMIFS('Sac Parça Detay'!$U$2:$U$544,'Sac Parça Detay'!$A$2:$A$544,A120)</f>
        <v>0.96351455316702195</v>
      </c>
      <c r="N120" s="140">
        <f>SUMIFS('Sac Parça Detay'!$S$2:$S$544,'Sac Parça Detay'!$A$2:$A$544,A120)</f>
        <v>3.3690479269516835</v>
      </c>
      <c r="O120" s="140">
        <f t="shared" si="11"/>
        <v>16.845239634758418</v>
      </c>
      <c r="P120" s="135">
        <v>0</v>
      </c>
      <c r="Q120" s="135" t="s">
        <v>1521</v>
      </c>
      <c r="R120" s="135" t="s">
        <v>130</v>
      </c>
      <c r="S120" s="135" t="s">
        <v>1520</v>
      </c>
    </row>
    <row r="121" spans="1:22" ht="15" customHeight="1" x14ac:dyDescent="0.25">
      <c r="A121" s="135" t="s">
        <v>458</v>
      </c>
      <c r="B121" s="135" t="s">
        <v>123</v>
      </c>
      <c r="C121" s="135" t="s">
        <v>119</v>
      </c>
      <c r="D121" s="136">
        <v>312</v>
      </c>
      <c r="E121" s="135">
        <f>COUNTIFS('Sac Parça Detay'!$A$2:$A$544,A121)</f>
        <v>1</v>
      </c>
      <c r="F121" s="135">
        <f>SUMIFS('Sac Parça Detay'!$G$2:$G$544,'Sac Parça Detay'!$A$2:$A$544,A121)</f>
        <v>2</v>
      </c>
      <c r="G121" s="137">
        <f>SUMPRODUCT(('Sac Parça Detay'!$A$2:$A$544=A121)*'Sac Parça Detay'!$K$2:$K$544*'Sac Parça Detay'!$G$2:$G$544)</f>
        <v>6.1659999999999996E-3</v>
      </c>
      <c r="H121" s="137">
        <f>SUMPRODUCT(('Sac Parça Detay'!$A$2:$A$544=A121)*'Sac Parça Detay'!$M$2:$M$544*'Sac Parça Detay'!$G$2:$G$544)</f>
        <v>7.5195121951219497E-3</v>
      </c>
      <c r="I121" s="137">
        <f t="shared" si="9"/>
        <v>1.3535121951219501E-3</v>
      </c>
      <c r="J121" s="138">
        <f t="shared" si="10"/>
        <v>0.17999999999999988</v>
      </c>
      <c r="K121" s="139">
        <f>SUMIFS('Sac Parça Detay'!$T$2:$T$544,'Sac Parça Detay'!$A$2:$A$544,A121)</f>
        <v>0.48403099999999993</v>
      </c>
      <c r="L121" s="139">
        <f>SUMIFS('Sac Parça Detay'!$V$2:$V$544,'Sac Parça Detay'!$A$2:$A$544,A121)</f>
        <v>0.59028170731707297</v>
      </c>
      <c r="M121" s="139">
        <f>SUMIFS('Sac Parça Detay'!$U$2:$U$544,'Sac Parça Detay'!$A$2:$A$544,A121)</f>
        <v>0.10625070731707308</v>
      </c>
      <c r="N121" s="140">
        <f>SUMIFS('Sac Parça Detay'!$S$2:$S$544,'Sac Parça Detay'!$A$2:$A$544,A121)</f>
        <v>0.43745240709534366</v>
      </c>
      <c r="O121" s="140">
        <f t="shared" si="11"/>
        <v>136.48515101374721</v>
      </c>
      <c r="P121" s="135">
        <v>1</v>
      </c>
      <c r="Q121" s="135" t="s">
        <v>1521</v>
      </c>
      <c r="R121" s="135" t="s">
        <v>130</v>
      </c>
      <c r="S121" s="135" t="s">
        <v>1520</v>
      </c>
    </row>
    <row r="122" spans="1:22" ht="15" customHeight="1" x14ac:dyDescent="0.25">
      <c r="A122" s="135" t="s">
        <v>579</v>
      </c>
      <c r="B122" s="135" t="s">
        <v>297</v>
      </c>
      <c r="C122" s="135" t="s">
        <v>139</v>
      </c>
      <c r="D122" s="136">
        <v>2</v>
      </c>
      <c r="E122" s="135">
        <f>COUNTIFS('Sac Parça Detay'!$A$2:$A$544,A122)</f>
        <v>3</v>
      </c>
      <c r="F122" s="135">
        <f>SUMIFS('Sac Parça Detay'!$G$2:$G$544,'Sac Parça Detay'!$A$2:$A$544,A122)</f>
        <v>4</v>
      </c>
      <c r="G122" s="137">
        <f>SUMPRODUCT(('Sac Parça Detay'!$A$2:$A$544=A122)*'Sac Parça Detay'!$K$2:$K$544*'Sac Parça Detay'!$G$2:$G$544)</f>
        <v>5.4968000000000003E-2</v>
      </c>
      <c r="H122" s="137">
        <f>SUMPRODUCT(('Sac Parça Detay'!$A$2:$A$544=A122)*'Sac Parça Detay'!$M$2:$M$544*'Sac Parça Detay'!$G$2:$G$544)</f>
        <v>6.7034146341463402E-2</v>
      </c>
      <c r="I122" s="137">
        <f t="shared" si="9"/>
        <v>1.2066146341463399E-2</v>
      </c>
      <c r="J122" s="138">
        <f t="shared" si="10"/>
        <v>0.1799999999999998</v>
      </c>
      <c r="K122" s="139">
        <f>SUMIFS('Sac Parça Detay'!$T$2:$T$544,'Sac Parça Detay'!$A$2:$A$544,A122)</f>
        <v>2.49698295</v>
      </c>
      <c r="L122" s="139">
        <f>SUMIFS('Sac Parça Detay'!$V$2:$V$544,'Sac Parça Detay'!$A$2:$A$544,A122)</f>
        <v>3.045101158536585</v>
      </c>
      <c r="M122" s="139">
        <f>SUMIFS('Sac Parça Detay'!$U$2:$U$544,'Sac Parça Detay'!$A$2:$A$544,A122)</f>
        <v>0.54811820853658511</v>
      </c>
      <c r="N122" s="140">
        <f>SUMIFS('Sac Parça Detay'!$S$2:$S$544,'Sac Parça Detay'!$A$2:$A$544,A122)</f>
        <v>2.2566967858536584</v>
      </c>
      <c r="O122" s="140">
        <f t="shared" si="11"/>
        <v>4.5133935717073168</v>
      </c>
      <c r="P122" s="135">
        <v>1</v>
      </c>
      <c r="Q122" s="135" t="s">
        <v>1521</v>
      </c>
      <c r="R122" s="135" t="s">
        <v>130</v>
      </c>
      <c r="S122" s="135" t="s">
        <v>1520</v>
      </c>
    </row>
    <row r="123" spans="1:22" ht="15" customHeight="1" x14ac:dyDescent="0.25">
      <c r="A123" s="135" t="s">
        <v>446</v>
      </c>
      <c r="B123" s="135" t="s">
        <v>106</v>
      </c>
      <c r="C123" s="135" t="s">
        <v>107</v>
      </c>
      <c r="D123" s="136">
        <v>204</v>
      </c>
      <c r="E123" s="135">
        <f>COUNTIFS('Sac Parça Detay'!$A$2:$A$544,A123)</f>
        <v>2</v>
      </c>
      <c r="F123" s="135">
        <f>SUMIFS('Sac Parça Detay'!$G$2:$G$544,'Sac Parça Detay'!$A$2:$A$544,A123)</f>
        <v>3</v>
      </c>
      <c r="G123" s="137">
        <f>SUMPRODUCT(('Sac Parça Detay'!$A$2:$A$544=A123)*'Sac Parça Detay'!$K$2:$K$544*'Sac Parça Detay'!$G$2:$G$544)</f>
        <v>5.4171999999999998E-2</v>
      </c>
      <c r="H123" s="137">
        <f>SUMPRODUCT(('Sac Parça Detay'!$A$2:$A$544=A123)*'Sac Parça Detay'!$M$2:$M$544*'Sac Parça Detay'!$G$2:$G$544)</f>
        <v>6.7795347615073109E-2</v>
      </c>
      <c r="I123" s="137">
        <f t="shared" si="9"/>
        <v>1.3623347615073111E-2</v>
      </c>
      <c r="J123" s="138">
        <f t="shared" si="10"/>
        <v>0.20094811951438682</v>
      </c>
      <c r="K123" s="139">
        <f>SUMIFS('Sac Parça Detay'!$T$2:$T$544,'Sac Parça Detay'!$A$2:$A$544,A123)</f>
        <v>3.4020015999999993</v>
      </c>
      <c r="L123" s="139">
        <f>SUMIFS('Sac Parça Detay'!$V$2:$V$544,'Sac Parça Detay'!$A$2:$A$544,A123)</f>
        <v>4.2575478302265903</v>
      </c>
      <c r="M123" s="139">
        <f>SUMIFS('Sac Parça Detay'!$U$2:$U$544,'Sac Parça Detay'!$A$2:$A$544,A123)</f>
        <v>0.85554623022659093</v>
      </c>
      <c r="N123" s="140">
        <f>SUMIFS('Sac Parça Detay'!$S$2:$S$544,'Sac Parça Detay'!$A$2:$A$544,A123)</f>
        <v>3.1260413161071163</v>
      </c>
      <c r="O123" s="140">
        <f t="shared" si="11"/>
        <v>637.71242848585177</v>
      </c>
      <c r="P123" s="135">
        <v>0</v>
      </c>
      <c r="Q123" s="135" t="s">
        <v>1521</v>
      </c>
      <c r="R123" s="135" t="s">
        <v>130</v>
      </c>
      <c r="S123" s="135" t="s">
        <v>1520</v>
      </c>
    </row>
    <row r="124" spans="1:22" ht="15" customHeight="1" x14ac:dyDescent="0.25">
      <c r="A124" s="135" t="s">
        <v>563</v>
      </c>
      <c r="B124" s="135" t="s">
        <v>274</v>
      </c>
      <c r="C124" s="135" t="s">
        <v>107</v>
      </c>
      <c r="D124" s="136">
        <v>3</v>
      </c>
      <c r="E124" s="135">
        <f>COUNTIFS('Sac Parça Detay'!$A$2:$A$544,A124)</f>
        <v>4</v>
      </c>
      <c r="F124" s="135">
        <f>SUMIFS('Sac Parça Detay'!$G$2:$G$544,'Sac Parça Detay'!$A$2:$A$544,A124)</f>
        <v>5</v>
      </c>
      <c r="G124" s="137">
        <f>SUMPRODUCT(('Sac Parça Detay'!$A$2:$A$544=A124)*'Sac Parça Detay'!$K$2:$K$544*'Sac Parça Detay'!$G$2:$G$544)</f>
        <v>8.7517000000000011E-2</v>
      </c>
      <c r="H124" s="137">
        <f>SUMPRODUCT(('Sac Parça Detay'!$A$2:$A$544=A124)*'Sac Parça Detay'!$M$2:$M$544*'Sac Parça Detay'!$G$2:$G$544)</f>
        <v>0.10869351911960184</v>
      </c>
      <c r="I124" s="137">
        <f t="shared" si="9"/>
        <v>2.1176519119601833E-2</v>
      </c>
      <c r="J124" s="138">
        <f t="shared" si="10"/>
        <v>0.1948277992204859</v>
      </c>
      <c r="K124" s="139">
        <f>SUMIFS('Sac Parça Detay'!$T$2:$T$544,'Sac Parça Detay'!$A$2:$A$544,A124)</f>
        <v>3.43504225</v>
      </c>
      <c r="L124" s="139">
        <f>SUMIFS('Sac Parça Detay'!$V$2:$V$544,'Sac Parça Detay'!$A$2:$A$544,A124)</f>
        <v>4.2662206254443724</v>
      </c>
      <c r="M124" s="139">
        <f>SUMIFS('Sac Parça Detay'!$U$2:$U$544,'Sac Parça Detay'!$A$2:$A$544,A124)</f>
        <v>0.83117837544437223</v>
      </c>
      <c r="N124" s="140">
        <f>SUMIFS('Sac Parça Detay'!$S$2:$S$544,'Sac Parça Detay'!$A$2:$A$544,A124)</f>
        <v>3.1409544865737034</v>
      </c>
      <c r="O124" s="140">
        <f t="shared" si="11"/>
        <v>9.4228634597211105</v>
      </c>
      <c r="P124" s="135">
        <v>0</v>
      </c>
      <c r="Q124" s="135" t="s">
        <v>1521</v>
      </c>
      <c r="R124" s="135" t="s">
        <v>130</v>
      </c>
      <c r="S124" s="135" t="s">
        <v>1520</v>
      </c>
    </row>
    <row r="125" spans="1:22" ht="15" customHeight="1" x14ac:dyDescent="0.25">
      <c r="A125" s="135" t="s">
        <v>559</v>
      </c>
      <c r="B125" s="135" t="s">
        <v>268</v>
      </c>
      <c r="C125" s="135" t="s">
        <v>117</v>
      </c>
      <c r="D125" s="136">
        <v>5</v>
      </c>
      <c r="E125" s="135">
        <f>COUNTIFS('Sac Parça Detay'!$A$2:$A$544,A125)</f>
        <v>2</v>
      </c>
      <c r="F125" s="135">
        <f>SUMIFS('Sac Parça Detay'!$G$2:$G$544,'Sac Parça Detay'!$A$2:$A$544,A125)</f>
        <v>3</v>
      </c>
      <c r="G125" s="137">
        <f>SUMPRODUCT(('Sac Parça Detay'!$A$2:$A$544=A125)*'Sac Parça Detay'!$K$2:$K$544*'Sac Parça Detay'!$G$2:$G$544)</f>
        <v>5.2229999999999999E-2</v>
      </c>
      <c r="H125" s="137">
        <f>SUMPRODUCT(('Sac Parça Detay'!$A$2:$A$544=A125)*'Sac Parça Detay'!$M$2:$M$544*'Sac Parça Detay'!$G$2:$G$544)</f>
        <v>6.3695121951219513E-2</v>
      </c>
      <c r="I125" s="137">
        <f t="shared" si="9"/>
        <v>1.1465121951219515E-2</v>
      </c>
      <c r="J125" s="138">
        <f t="shared" si="10"/>
        <v>0.18000000000000002</v>
      </c>
      <c r="K125" s="139">
        <f>SUMIFS('Sac Parça Detay'!$T$2:$T$544,'Sac Parça Detay'!$A$2:$A$544,A125)</f>
        <v>3.2800440000000002</v>
      </c>
      <c r="L125" s="139">
        <f>SUMIFS('Sac Parça Detay'!$V$2:$V$544,'Sac Parça Detay'!$A$2:$A$544,A125)</f>
        <v>4.0000536585365847</v>
      </c>
      <c r="M125" s="139">
        <f>SUMIFS('Sac Parça Detay'!$U$2:$U$544,'Sac Parça Detay'!$A$2:$A$544,A125)</f>
        <v>0.72000965853658483</v>
      </c>
      <c r="N125" s="140">
        <f>SUMIFS('Sac Parça Detay'!$S$2:$S$544,'Sac Parça Detay'!$A$2:$A$544,A125)</f>
        <v>2.9644034022172949</v>
      </c>
      <c r="O125" s="140">
        <f t="shared" si="11"/>
        <v>14.822017011086475</v>
      </c>
      <c r="P125" s="135">
        <v>0</v>
      </c>
      <c r="Q125" s="135" t="s">
        <v>1521</v>
      </c>
      <c r="R125" s="135" t="s">
        <v>130</v>
      </c>
      <c r="S125" s="135" t="s">
        <v>1520</v>
      </c>
    </row>
    <row r="126" spans="1:22" ht="15" customHeight="1" x14ac:dyDescent="0.25">
      <c r="A126" s="135" t="s">
        <v>592</v>
      </c>
      <c r="B126" s="135" t="s">
        <v>316</v>
      </c>
      <c r="C126" s="135" t="s">
        <v>119</v>
      </c>
      <c r="D126" s="136">
        <v>1</v>
      </c>
      <c r="E126" s="135">
        <f>COUNTIFS('Sac Parça Detay'!$A$2:$A$544,A126)</f>
        <v>1</v>
      </c>
      <c r="F126" s="135">
        <f>SUMIFS('Sac Parça Detay'!$G$2:$G$544,'Sac Parça Detay'!$A$2:$A$544,A126)</f>
        <v>1</v>
      </c>
      <c r="G126" s="137">
        <f>SUMPRODUCT(('Sac Parça Detay'!$A$2:$A$544=A126)*'Sac Parça Detay'!$K$2:$K$544*'Sac Parça Detay'!$G$2:$G$544)</f>
        <v>2.6306E-2</v>
      </c>
      <c r="H126" s="137">
        <f>SUMPRODUCT(('Sac Parça Detay'!$A$2:$A$544=A126)*'Sac Parça Detay'!$M$2:$M$544*'Sac Parça Detay'!$G$2:$G$544)</f>
        <v>3.2080487804878044E-2</v>
      </c>
      <c r="I126" s="137">
        <f t="shared" si="9"/>
        <v>5.7744878048780444E-3</v>
      </c>
      <c r="J126" s="138">
        <f t="shared" si="10"/>
        <v>0.17999999999999988</v>
      </c>
      <c r="K126" s="139">
        <f>SUMIFS('Sac Parça Detay'!$T$2:$T$544,'Sac Parça Detay'!$A$2:$A$544,A126)</f>
        <v>1.6520168</v>
      </c>
      <c r="L126" s="139">
        <f>SUMIFS('Sac Parça Detay'!$V$2:$V$544,'Sac Parça Detay'!$A$2:$A$544,A126)</f>
        <v>2.0146546341463409</v>
      </c>
      <c r="M126" s="139">
        <f>SUMIFS('Sac Parça Detay'!$U$2:$U$544,'Sac Parça Detay'!$A$2:$A$544,A126)</f>
        <v>0.36263783414634115</v>
      </c>
      <c r="N126" s="140">
        <f>SUMIFS('Sac Parça Detay'!$S$2:$S$544,'Sac Parça Detay'!$A$2:$A$544,A126)</f>
        <v>1.4930422343237248</v>
      </c>
      <c r="O126" s="140">
        <f t="shared" si="11"/>
        <v>1.4930422343237248</v>
      </c>
      <c r="P126" s="135">
        <v>1</v>
      </c>
      <c r="Q126" s="135" t="s">
        <v>1521</v>
      </c>
      <c r="R126" s="135" t="s">
        <v>130</v>
      </c>
      <c r="S126" s="135" t="s">
        <v>1520</v>
      </c>
    </row>
    <row r="127" spans="1:22" ht="15" customHeight="1" x14ac:dyDescent="0.25">
      <c r="A127" s="135" t="s">
        <v>614</v>
      </c>
      <c r="B127" s="135" t="s">
        <v>346</v>
      </c>
      <c r="C127" s="135" t="s">
        <v>99</v>
      </c>
      <c r="D127" s="136">
        <v>10</v>
      </c>
      <c r="E127" s="135">
        <f>COUNTIFS('Sac Parça Detay'!$A$2:$A$544,A127)</f>
        <v>2</v>
      </c>
      <c r="F127" s="135">
        <f>SUMIFS('Sac Parça Detay'!$G$2:$G$544,'Sac Parça Detay'!$A$2:$A$544,A127)</f>
        <v>2</v>
      </c>
      <c r="G127" s="137">
        <f>SUMPRODUCT(('Sac Parça Detay'!$A$2:$A$544=A127)*'Sac Parça Detay'!$K$2:$K$544*'Sac Parça Detay'!$G$2:$G$544)</f>
        <v>5.2181000000000005E-2</v>
      </c>
      <c r="H127" s="137">
        <f>SUMPRODUCT(('Sac Parça Detay'!$A$2:$A$544=A127)*'Sac Parça Detay'!$M$2:$M$544*'Sac Parça Detay'!$G$2:$G$544)</f>
        <v>6.5068213855142359E-2</v>
      </c>
      <c r="I127" s="137">
        <f t="shared" si="9"/>
        <v>1.2887213855142354E-2</v>
      </c>
      <c r="J127" s="138">
        <f t="shared" si="10"/>
        <v>0.19805697884734352</v>
      </c>
      <c r="K127" s="139">
        <f>SUMIFS('Sac Parça Detay'!$T$2:$T$544,'Sac Parça Detay'!$A$2:$A$544,A127)</f>
        <v>3.2769668000000003</v>
      </c>
      <c r="L127" s="139">
        <f>SUMIFS('Sac Parça Detay'!$V$2:$V$544,'Sac Parça Detay'!$A$2:$A$544,A127)</f>
        <v>4.0862838301029392</v>
      </c>
      <c r="M127" s="139">
        <f>SUMIFS('Sac Parça Detay'!$U$2:$U$544,'Sac Parça Detay'!$A$2:$A$544,A127)</f>
        <v>0.80931703010293954</v>
      </c>
      <c r="N127" s="140">
        <f>SUMIFS('Sac Parça Detay'!$S$2:$S$544,'Sac Parça Detay'!$A$2:$A$544,A127)</f>
        <v>3.0041596724122988</v>
      </c>
      <c r="O127" s="140">
        <f t="shared" si="11"/>
        <v>30.041596724122989</v>
      </c>
      <c r="P127" s="135">
        <v>0</v>
      </c>
      <c r="Q127" s="135" t="s">
        <v>1521</v>
      </c>
      <c r="R127" s="135" t="s">
        <v>130</v>
      </c>
      <c r="S127" s="135" t="s">
        <v>1520</v>
      </c>
    </row>
    <row r="128" spans="1:22" ht="15" customHeight="1" x14ac:dyDescent="0.25">
      <c r="A128" s="135" t="s">
        <v>499</v>
      </c>
      <c r="B128" s="135" t="s">
        <v>188</v>
      </c>
      <c r="C128" s="135" t="s">
        <v>119</v>
      </c>
      <c r="D128" s="136">
        <v>55</v>
      </c>
      <c r="E128" s="135">
        <f>COUNTIFS('Sac Parça Detay'!$A$2:$A$544,A128)</f>
        <v>2</v>
      </c>
      <c r="F128" s="135">
        <f>SUMIFS('Sac Parça Detay'!$G$2:$G$544,'Sac Parça Detay'!$A$2:$A$544,A128)</f>
        <v>2</v>
      </c>
      <c r="G128" s="137">
        <f>SUMPRODUCT(('Sac Parça Detay'!$A$2:$A$544=A128)*'Sac Parça Detay'!$K$2:$K$544*'Sac Parça Detay'!$G$2:$G$544)</f>
        <v>6.8959999999999994E-2</v>
      </c>
      <c r="H128" s="137">
        <f>SUMPRODUCT(('Sac Parça Detay'!$A$2:$A$544=A128)*'Sac Parça Detay'!$M$2:$M$544*'Sac Parça Detay'!$G$2:$G$544)</f>
        <v>8.6835132461590761E-2</v>
      </c>
      <c r="I128" s="137">
        <f t="shared" si="9"/>
        <v>1.7875132461590768E-2</v>
      </c>
      <c r="J128" s="138">
        <f t="shared" si="10"/>
        <v>0.20585138704656625</v>
      </c>
      <c r="K128" s="139">
        <f>SUMIFS('Sac Parça Detay'!$T$2:$T$544,'Sac Parça Detay'!$A$2:$A$544,A128)</f>
        <v>3.2480159999999998</v>
      </c>
      <c r="L128" s="139">
        <f>SUMIFS('Sac Parça Detay'!$V$2:$V$544,'Sac Parça Detay'!$A$2:$A$544,A128)</f>
        <v>4.0899347389409249</v>
      </c>
      <c r="M128" s="139">
        <f>SUMIFS('Sac Parça Detay'!$U$2:$U$544,'Sac Parça Detay'!$A$2:$A$544,A128)</f>
        <v>0.84191873894092517</v>
      </c>
      <c r="N128" s="140">
        <f>SUMIFS('Sac Parça Detay'!$S$2:$S$544,'Sac Parça Detay'!$A$2:$A$544,A128)</f>
        <v>2.9964107493175285</v>
      </c>
      <c r="O128" s="140">
        <f t="shared" si="11"/>
        <v>164.80259121246408</v>
      </c>
      <c r="P128" s="135">
        <v>0</v>
      </c>
      <c r="Q128" s="135" t="s">
        <v>1521</v>
      </c>
      <c r="R128" s="135" t="s">
        <v>130</v>
      </c>
      <c r="S128" s="135" t="s">
        <v>1520</v>
      </c>
    </row>
    <row r="129" spans="1:19" ht="15" customHeight="1" x14ac:dyDescent="0.25">
      <c r="A129" s="135" t="s">
        <v>516</v>
      </c>
      <c r="B129" s="135" t="s">
        <v>210</v>
      </c>
      <c r="C129" s="135" t="s">
        <v>99</v>
      </c>
      <c r="D129" s="136">
        <v>27</v>
      </c>
      <c r="E129" s="135">
        <f>COUNTIFS('Sac Parça Detay'!$A$2:$A$544,A129)</f>
        <v>2</v>
      </c>
      <c r="F129" s="135">
        <f>SUMIFS('Sac Parça Detay'!$G$2:$G$544,'Sac Parça Detay'!$A$2:$A$544,A129)</f>
        <v>3</v>
      </c>
      <c r="G129" s="137">
        <f>SUMPRODUCT(('Sac Parça Detay'!$A$2:$A$544=A129)*'Sac Parça Detay'!$K$2:$K$544*'Sac Parça Detay'!$G$2:$G$544)</f>
        <v>0.127388</v>
      </c>
      <c r="H129" s="137">
        <f>SUMPRODUCT(('Sac Parça Detay'!$A$2:$A$544=A129)*'Sac Parça Detay'!$M$2:$M$544*'Sac Parça Detay'!$G$2:$G$544)</f>
        <v>0.16097892361433119</v>
      </c>
      <c r="I129" s="137">
        <f t="shared" si="9"/>
        <v>3.3590923614331192E-2</v>
      </c>
      <c r="J129" s="138">
        <f t="shared" si="10"/>
        <v>0.20866659349025957</v>
      </c>
      <c r="K129" s="139">
        <f>SUMIFS('Sac Parça Detay'!$T$2:$T$544,'Sac Parça Detay'!$A$2:$A$544,A129)</f>
        <v>3.1559825999999997</v>
      </c>
      <c r="L129" s="139">
        <f>SUMIFS('Sac Parça Detay'!$V$2:$V$544,'Sac Parça Detay'!$A$2:$A$544,A129)</f>
        <v>3.9812916998979873</v>
      </c>
      <c r="M129" s="139">
        <f>SUMIFS('Sac Parça Detay'!$U$2:$U$544,'Sac Parça Detay'!$A$2:$A$544,A129)</f>
        <v>0.82530909989798729</v>
      </c>
      <c r="N129" s="140">
        <f>SUMIFS('Sac Parça Detay'!$S$2:$S$544,'Sac Parça Detay'!$A$2:$A$544,A129)</f>
        <v>2.9149321999517754</v>
      </c>
      <c r="O129" s="140">
        <f t="shared" si="11"/>
        <v>78.703169398697938</v>
      </c>
      <c r="P129" s="135">
        <v>0</v>
      </c>
      <c r="Q129" s="135" t="s">
        <v>1521</v>
      </c>
      <c r="R129" s="135" t="s">
        <v>130</v>
      </c>
      <c r="S129" s="135" t="s">
        <v>1520</v>
      </c>
    </row>
    <row r="130" spans="1:19" ht="15" customHeight="1" x14ac:dyDescent="0.25">
      <c r="A130" s="135" t="s">
        <v>518</v>
      </c>
      <c r="B130" s="135" t="s">
        <v>212</v>
      </c>
      <c r="C130" s="135" t="s">
        <v>194</v>
      </c>
      <c r="D130" s="136">
        <v>19</v>
      </c>
      <c r="E130" s="135">
        <f>COUNTIFS('Sac Parça Detay'!$A$2:$A$544,A130)</f>
        <v>2</v>
      </c>
      <c r="F130" s="135">
        <f>SUMIFS('Sac Parça Detay'!$G$2:$G$544,'Sac Parça Detay'!$A$2:$A$544,A130)</f>
        <v>3</v>
      </c>
      <c r="G130" s="137">
        <f>SUMPRODUCT(('Sac Parça Detay'!$A$2:$A$544=A130)*'Sac Parça Detay'!$K$2:$K$544*'Sac Parça Detay'!$G$2:$G$544)</f>
        <v>7.7987000000000001E-2</v>
      </c>
      <c r="H130" s="137">
        <f>SUMPRODUCT(('Sac Parça Detay'!$A$2:$A$544=A130)*'Sac Parça Detay'!$M$2:$M$544*'Sac Parça Detay'!$G$2:$G$544)</f>
        <v>9.7839404618380782E-2</v>
      </c>
      <c r="I130" s="137">
        <f t="shared" si="9"/>
        <v>1.9852404618380781E-2</v>
      </c>
      <c r="J130" s="138">
        <f t="shared" si="10"/>
        <v>0.2029080685416515</v>
      </c>
      <c r="K130" s="139">
        <f>SUMIFS('Sac Parça Detay'!$T$2:$T$544,'Sac Parça Detay'!$A$2:$A$544,A130)</f>
        <v>3.0609897500000001</v>
      </c>
      <c r="L130" s="139">
        <f>SUMIFS('Sac Parça Detay'!$V$2:$V$544,'Sac Parça Detay'!$A$2:$A$544,A130)</f>
        <v>3.8401966312714455</v>
      </c>
      <c r="M130" s="139">
        <f>SUMIFS('Sac Parça Detay'!$U$2:$U$544,'Sac Parça Detay'!$A$2:$A$544,A130)</f>
        <v>0.77920688127144577</v>
      </c>
      <c r="N130" s="140">
        <f>SUMIFS('Sac Parça Detay'!$S$2:$S$544,'Sac Parça Detay'!$A$2:$A$544,A130)</f>
        <v>2.8171441438737745</v>
      </c>
      <c r="O130" s="140">
        <f t="shared" si="11"/>
        <v>53.525738733601713</v>
      </c>
      <c r="P130" s="135">
        <v>0</v>
      </c>
      <c r="Q130" s="135" t="s">
        <v>1521</v>
      </c>
      <c r="R130" s="135" t="s">
        <v>130</v>
      </c>
      <c r="S130" s="135" t="s">
        <v>1520</v>
      </c>
    </row>
    <row r="131" spans="1:19" ht="15" customHeight="1" x14ac:dyDescent="0.25">
      <c r="A131" s="135" t="s">
        <v>596</v>
      </c>
      <c r="B131" s="135" t="s">
        <v>321</v>
      </c>
      <c r="C131" s="135" t="s">
        <v>99</v>
      </c>
      <c r="D131" s="136">
        <v>13</v>
      </c>
      <c r="E131" s="135">
        <f>COUNTIFS('Sac Parça Detay'!$A$2:$A$544,A131)</f>
        <v>3</v>
      </c>
      <c r="F131" s="135">
        <f>SUMIFS('Sac Parça Detay'!$G$2:$G$544,'Sac Parça Detay'!$A$2:$A$544,A131)</f>
        <v>3</v>
      </c>
      <c r="G131" s="137">
        <f>SUMPRODUCT(('Sac Parça Detay'!$A$2:$A$544=A131)*'Sac Parça Detay'!$K$2:$K$544*'Sac Parça Detay'!$G$2:$G$544)</f>
        <v>4.7337000000000004E-2</v>
      </c>
      <c r="H131" s="137">
        <f>SUMPRODUCT(('Sac Parça Detay'!$A$2:$A$544=A131)*'Sac Parça Detay'!$M$2:$M$544*'Sac Parça Detay'!$G$2:$G$544)</f>
        <v>5.9316236977959139E-2</v>
      </c>
      <c r="I131" s="137">
        <f t="shared" si="9"/>
        <v>1.1979236977959135E-2</v>
      </c>
      <c r="J131" s="138">
        <f t="shared" si="10"/>
        <v>0.20195544404494856</v>
      </c>
      <c r="K131" s="139">
        <f>SUMIFS('Sac Parça Detay'!$T$2:$T$544,'Sac Parça Detay'!$A$2:$A$544,A131)</f>
        <v>3.1589577499999999</v>
      </c>
      <c r="L131" s="139">
        <f>SUMIFS('Sac Parça Detay'!$V$2:$V$544,'Sac Parça Detay'!$A$2:$A$544,A131)</f>
        <v>3.977060273501499</v>
      </c>
      <c r="M131" s="139">
        <f>SUMIFS('Sac Parça Detay'!$U$2:$U$544,'Sac Parça Detay'!$A$2:$A$544,A131)</f>
        <v>0.81810252350149926</v>
      </c>
      <c r="N131" s="140">
        <f>SUMIFS('Sac Parça Detay'!$S$2:$S$544,'Sac Parça Detay'!$A$2:$A$544,A131)</f>
        <v>2.9139055747461637</v>
      </c>
      <c r="O131" s="140">
        <f t="shared" si="11"/>
        <v>37.880772471700126</v>
      </c>
      <c r="P131" s="135">
        <v>0</v>
      </c>
      <c r="Q131" s="135" t="s">
        <v>1521</v>
      </c>
      <c r="R131" s="135" t="s">
        <v>130</v>
      </c>
      <c r="S131" s="135" t="s">
        <v>1520</v>
      </c>
    </row>
    <row r="132" spans="1:19" ht="15" customHeight="1" x14ac:dyDescent="0.25">
      <c r="A132" s="135" t="s">
        <v>618</v>
      </c>
      <c r="B132" s="135" t="s">
        <v>351</v>
      </c>
      <c r="C132" s="135" t="s">
        <v>139</v>
      </c>
      <c r="D132" s="136">
        <v>6</v>
      </c>
      <c r="E132" s="135">
        <f>COUNTIFS('Sac Parça Detay'!$A$2:$A$544,A132)</f>
        <v>2</v>
      </c>
      <c r="F132" s="135">
        <f>SUMIFS('Sac Parça Detay'!$G$2:$G$544,'Sac Parça Detay'!$A$2:$A$544,A132)</f>
        <v>2</v>
      </c>
      <c r="G132" s="137">
        <f>SUMPRODUCT(('Sac Parça Detay'!$A$2:$A$544=A132)*'Sac Parça Detay'!$K$2:$K$544*'Sac Parça Detay'!$G$2:$G$544)</f>
        <v>2.4590000000000001E-2</v>
      </c>
      <c r="H132" s="137">
        <f>SUMPRODUCT(('Sac Parça Detay'!$A$2:$A$544=A132)*'Sac Parça Detay'!$M$2:$M$544*'Sac Parça Detay'!$G$2:$G$544)</f>
        <v>3.0726365575442824E-2</v>
      </c>
      <c r="I132" s="137">
        <f t="shared" si="9"/>
        <v>6.1363655754428231E-3</v>
      </c>
      <c r="J132" s="138">
        <f t="shared" si="10"/>
        <v>0.19971010109790333</v>
      </c>
      <c r="K132" s="139">
        <f>SUMIFS('Sac Parça Detay'!$T$2:$T$544,'Sac Parça Detay'!$A$2:$A$544,A132)</f>
        <v>3.1289472000000003</v>
      </c>
      <c r="L132" s="139">
        <f>SUMIFS('Sac Parça Detay'!$V$2:$V$544,'Sac Parça Detay'!$A$2:$A$544,A132)</f>
        <v>3.8621708800890286</v>
      </c>
      <c r="M132" s="139">
        <f>SUMIFS('Sac Parça Detay'!$U$2:$U$544,'Sac Parça Detay'!$A$2:$A$544,A132)</f>
        <v>0.73322368008902861</v>
      </c>
      <c r="N132" s="140">
        <f>SUMIFS('Sac Parça Detay'!$S$2:$S$544,'Sac Parça Detay'!$A$2:$A$544,A132)</f>
        <v>2.8497725905875408</v>
      </c>
      <c r="O132" s="140">
        <f t="shared" si="11"/>
        <v>17.098635543525244</v>
      </c>
      <c r="P132" s="135">
        <v>0</v>
      </c>
      <c r="Q132" s="135" t="s">
        <v>1521</v>
      </c>
      <c r="R132" s="135" t="s">
        <v>130</v>
      </c>
      <c r="S132" s="135" t="s">
        <v>1520</v>
      </c>
    </row>
    <row r="133" spans="1:19" ht="15" customHeight="1" x14ac:dyDescent="0.25">
      <c r="A133" s="135" t="s">
        <v>498</v>
      </c>
      <c r="B133" s="135" t="s">
        <v>187</v>
      </c>
      <c r="C133" s="135" t="s">
        <v>119</v>
      </c>
      <c r="D133" s="136">
        <v>50</v>
      </c>
      <c r="E133" s="135">
        <f>COUNTIFS('Sac Parça Detay'!$A$2:$A$544,A133)</f>
        <v>2</v>
      </c>
      <c r="F133" s="135">
        <f>SUMIFS('Sac Parça Detay'!$G$2:$G$544,'Sac Parça Detay'!$A$2:$A$544,A133)</f>
        <v>2</v>
      </c>
      <c r="G133" s="137">
        <f>SUMPRODUCT(('Sac Parça Detay'!$A$2:$A$544=A133)*'Sac Parça Detay'!$K$2:$K$544*'Sac Parça Detay'!$G$2:$G$544)</f>
        <v>6.6497000000000001E-2</v>
      </c>
      <c r="H133" s="137">
        <f>SUMPRODUCT(('Sac Parça Detay'!$A$2:$A$544=A133)*'Sac Parça Detay'!$M$2:$M$544*'Sac Parça Detay'!$G$2:$G$544)</f>
        <v>8.3971864663513557E-2</v>
      </c>
      <c r="I133" s="137">
        <f t="shared" ref="I133:I164" si="12">H133-G133</f>
        <v>1.7474864663513556E-2</v>
      </c>
      <c r="J133" s="138">
        <f t="shared" ref="J133:J164" si="13">IF(H133=0,0,I133/H133)</f>
        <v>0.20810380635868533</v>
      </c>
      <c r="K133" s="139">
        <f>SUMIFS('Sac Parça Detay'!$T$2:$T$544,'Sac Parça Detay'!$A$2:$A$544,A133)</f>
        <v>3.1320086999999996</v>
      </c>
      <c r="L133" s="139">
        <f>SUMIFS('Sac Parça Detay'!$V$2:$V$544,'Sac Parça Detay'!$A$2:$A$544,A133)</f>
        <v>3.9550748256514883</v>
      </c>
      <c r="M133" s="139">
        <f>SUMIFS('Sac Parça Detay'!$U$2:$U$544,'Sac Parça Detay'!$A$2:$A$544,A133)</f>
        <v>0.82306612565148829</v>
      </c>
      <c r="N133" s="140">
        <f>SUMIFS('Sac Parça Detay'!$S$2:$S$544,'Sac Parça Detay'!$A$2:$A$544,A133)</f>
        <v>2.8946927648534304</v>
      </c>
      <c r="O133" s="140">
        <f t="shared" ref="O133:O164" si="14">N133*D133</f>
        <v>144.73463824267151</v>
      </c>
      <c r="P133" s="135">
        <v>0</v>
      </c>
      <c r="Q133" s="135" t="s">
        <v>1521</v>
      </c>
      <c r="R133" s="135" t="s">
        <v>130</v>
      </c>
      <c r="S133" s="135" t="s">
        <v>1520</v>
      </c>
    </row>
    <row r="134" spans="1:19" ht="15" customHeight="1" x14ac:dyDescent="0.25">
      <c r="A134" s="135" t="s">
        <v>528</v>
      </c>
      <c r="B134" s="135" t="s">
        <v>223</v>
      </c>
      <c r="C134" s="135" t="s">
        <v>107</v>
      </c>
      <c r="D134" s="136">
        <v>16</v>
      </c>
      <c r="E134" s="135">
        <f>COUNTIFS('Sac Parça Detay'!$A$2:$A$544,A134)</f>
        <v>2</v>
      </c>
      <c r="F134" s="135">
        <f>SUMIFS('Sac Parça Detay'!$G$2:$G$544,'Sac Parça Detay'!$A$2:$A$544,A134)</f>
        <v>2</v>
      </c>
      <c r="G134" s="137">
        <f>SUMPRODUCT(('Sac Parça Detay'!$A$2:$A$544=A134)*'Sac Parça Detay'!$K$2:$K$544*'Sac Parça Detay'!$G$2:$G$544)</f>
        <v>4.5686999999999998E-2</v>
      </c>
      <c r="H134" s="137">
        <f>SUMPRODUCT(('Sac Parça Detay'!$A$2:$A$544=A134)*'Sac Parça Detay'!$M$2:$M$544*'Sac Parça Detay'!$G$2:$G$544)</f>
        <v>5.7667524498438892E-2</v>
      </c>
      <c r="I134" s="137">
        <f t="shared" si="12"/>
        <v>1.1980524498438894E-2</v>
      </c>
      <c r="J134" s="138">
        <f t="shared" si="13"/>
        <v>0.20775166963796438</v>
      </c>
      <c r="K134" s="139">
        <f>SUMIFS('Sac Parça Detay'!$T$2:$T$544,'Sac Parça Detay'!$A$2:$A$544,A134)</f>
        <v>2.9469371</v>
      </c>
      <c r="L134" s="139">
        <f>SUMIFS('Sac Parça Detay'!$V$2:$V$544,'Sac Parça Detay'!$A$2:$A$544,A134)</f>
        <v>3.7163906604531816</v>
      </c>
      <c r="M134" s="139">
        <f>SUMIFS('Sac Parça Detay'!$U$2:$U$544,'Sac Parça Detay'!$A$2:$A$544,A134)</f>
        <v>0.76945356045318214</v>
      </c>
      <c r="N134" s="140">
        <f>SUMIFS('Sac Parça Detay'!$S$2:$S$544,'Sac Parça Detay'!$A$2:$A$544,A134)</f>
        <v>2.7212913631233229</v>
      </c>
      <c r="O134" s="140">
        <f t="shared" si="14"/>
        <v>43.540661809973166</v>
      </c>
      <c r="P134" s="135">
        <v>0</v>
      </c>
      <c r="Q134" s="135" t="s">
        <v>1521</v>
      </c>
      <c r="R134" s="135" t="s">
        <v>130</v>
      </c>
      <c r="S134" s="135" t="s">
        <v>1520</v>
      </c>
    </row>
    <row r="135" spans="1:19" ht="15" customHeight="1" x14ac:dyDescent="0.25">
      <c r="A135" s="135" t="s">
        <v>461</v>
      </c>
      <c r="B135" s="135" t="s">
        <v>129</v>
      </c>
      <c r="C135" s="135"/>
      <c r="D135" s="136">
        <v>53</v>
      </c>
      <c r="E135" s="135">
        <f>COUNTIFS('Sac Parça Detay'!$A$2:$A$544,A135)</f>
        <v>1</v>
      </c>
      <c r="F135" s="135">
        <f>SUMIFS('Sac Parça Detay'!$G$2:$G$544,'Sac Parça Detay'!$A$2:$A$544,A135)</f>
        <v>1</v>
      </c>
      <c r="G135" s="137">
        <f>SUMPRODUCT(('Sac Parça Detay'!$A$2:$A$544=A135)*'Sac Parça Detay'!$K$2:$K$544*'Sac Parça Detay'!$G$2:$G$544)</f>
        <v>3.3758000000000003E-2</v>
      </c>
      <c r="H135" s="137">
        <f>SUMPRODUCT(('Sac Parça Detay'!$A$2:$A$544=A135)*'Sac Parça Detay'!$M$2:$M$544*'Sac Parça Detay'!$G$2:$G$544)</f>
        <v>4.1168292682926828E-2</v>
      </c>
      <c r="I135" s="137">
        <f t="shared" si="12"/>
        <v>7.4102926829268251E-3</v>
      </c>
      <c r="J135" s="138">
        <f t="shared" si="13"/>
        <v>0.17999999999999991</v>
      </c>
      <c r="K135" s="139">
        <f>SUMIFS('Sac Parça Detay'!$T$2:$T$544,'Sac Parça Detay'!$A$2:$A$544,A135)</f>
        <v>1.0600012000000001</v>
      </c>
      <c r="L135" s="139">
        <f>SUMIFS('Sac Parça Detay'!$V$2:$V$544,'Sac Parça Detay'!$A$2:$A$544,A135)</f>
        <v>1.2926843902439022</v>
      </c>
      <c r="M135" s="139">
        <f>SUMIFS('Sac Parça Detay'!$U$2:$U$544,'Sac Parça Detay'!$A$2:$A$544,A135)</f>
        <v>0.2326831902439023</v>
      </c>
      <c r="N135" s="140">
        <f>SUMIFS('Sac Parça Detay'!$S$2:$S$544,'Sac Parça Detay'!$A$2:$A$544,A135)</f>
        <v>0.95799664993348133</v>
      </c>
      <c r="O135" s="140">
        <f t="shared" si="14"/>
        <v>50.773822446474512</v>
      </c>
      <c r="P135" s="135">
        <v>7</v>
      </c>
      <c r="Q135" s="135" t="s">
        <v>1521</v>
      </c>
      <c r="R135" s="135" t="s">
        <v>130</v>
      </c>
      <c r="S135" s="135" t="s">
        <v>1520</v>
      </c>
    </row>
    <row r="136" spans="1:19" ht="15" customHeight="1" x14ac:dyDescent="0.25">
      <c r="A136" s="135" t="s">
        <v>623</v>
      </c>
      <c r="B136" s="135" t="s">
        <v>358</v>
      </c>
      <c r="C136" s="135" t="s">
        <v>107</v>
      </c>
      <c r="D136" s="136">
        <v>5</v>
      </c>
      <c r="E136" s="135">
        <f>COUNTIFS('Sac Parça Detay'!$A$2:$A$544,A136)</f>
        <v>2</v>
      </c>
      <c r="F136" s="135">
        <f>SUMIFS('Sac Parça Detay'!$G$2:$G$544,'Sac Parça Detay'!$A$2:$A$544,A136)</f>
        <v>2</v>
      </c>
      <c r="G136" s="137">
        <f>SUMPRODUCT(('Sac Parça Detay'!$A$2:$A$544=A136)*'Sac Parça Detay'!$K$2:$K$544*'Sac Parça Detay'!$G$2:$G$544)</f>
        <v>4.7229E-2</v>
      </c>
      <c r="H136" s="137">
        <f>SUMPRODUCT(('Sac Parça Detay'!$A$2:$A$544=A136)*'Sac Parça Detay'!$M$2:$M$544*'Sac Parça Detay'!$G$2:$G$544)</f>
        <v>5.9520557049676959E-2</v>
      </c>
      <c r="I136" s="137">
        <f t="shared" si="12"/>
        <v>1.2291557049676959E-2</v>
      </c>
      <c r="J136" s="138">
        <f t="shared" si="13"/>
        <v>0.20650944243378297</v>
      </c>
      <c r="K136" s="139">
        <f>SUMIFS('Sac Parça Detay'!$T$2:$T$544,'Sac Parça Detay'!$A$2:$A$544,A136)</f>
        <v>2.8549822000000002</v>
      </c>
      <c r="L136" s="139">
        <f>SUMIFS('Sac Parça Detay'!$V$2:$V$544,'Sac Parça Detay'!$A$2:$A$544,A136)</f>
        <v>3.6025263485733712</v>
      </c>
      <c r="M136" s="139">
        <f>SUMIFS('Sac Parça Detay'!$U$2:$U$544,'Sac Parça Detay'!$A$2:$A$544,A136)</f>
        <v>0.74754414857337137</v>
      </c>
      <c r="N136" s="140">
        <f>SUMIFS('Sac Parça Detay'!$S$2:$S$544,'Sac Parça Detay'!$A$2:$A$544,A136)</f>
        <v>2.637370266598321</v>
      </c>
      <c r="O136" s="140">
        <f t="shared" si="14"/>
        <v>13.186851332991605</v>
      </c>
      <c r="P136" s="135">
        <v>0</v>
      </c>
      <c r="Q136" s="135" t="s">
        <v>1521</v>
      </c>
      <c r="R136" s="135" t="s">
        <v>130</v>
      </c>
      <c r="S136" s="135" t="s">
        <v>1520</v>
      </c>
    </row>
    <row r="137" spans="1:19" ht="15" customHeight="1" x14ac:dyDescent="0.25">
      <c r="A137" s="135" t="s">
        <v>469</v>
      </c>
      <c r="B137" s="135" t="s">
        <v>146</v>
      </c>
      <c r="C137" s="135" t="s">
        <v>117</v>
      </c>
      <c r="D137" s="136">
        <v>95</v>
      </c>
      <c r="E137" s="135">
        <f>COUNTIFS('Sac Parça Detay'!$A$2:$A$544,A137)</f>
        <v>2</v>
      </c>
      <c r="F137" s="135">
        <f>SUMIFS('Sac Parça Detay'!$G$2:$G$544,'Sac Parça Detay'!$A$2:$A$544,A137)</f>
        <v>3</v>
      </c>
      <c r="G137" s="137">
        <f>SUMPRODUCT(('Sac Parça Detay'!$A$2:$A$544=A137)*'Sac Parça Detay'!$K$2:$K$544*'Sac Parça Detay'!$G$2:$G$544)</f>
        <v>7.0063E-2</v>
      </c>
      <c r="H137" s="137">
        <f>SUMPRODUCT(('Sac Parça Detay'!$A$2:$A$544=A137)*'Sac Parça Detay'!$M$2:$M$544*'Sac Parça Detay'!$G$2:$G$544)</f>
        <v>8.8357875050233389E-2</v>
      </c>
      <c r="I137" s="137">
        <f t="shared" si="12"/>
        <v>1.8294875050233389E-2</v>
      </c>
      <c r="J137" s="138">
        <f t="shared" si="13"/>
        <v>0.20705426697770121</v>
      </c>
      <c r="K137" s="139">
        <f>SUMIFS('Sac Parça Detay'!$T$2:$T$544,'Sac Parça Detay'!$A$2:$A$544,A137)</f>
        <v>2.74997275</v>
      </c>
      <c r="L137" s="139">
        <f>SUMIFS('Sac Parça Detay'!$V$2:$V$544,'Sac Parça Detay'!$A$2:$A$544,A137)</f>
        <v>3.4680465957216606</v>
      </c>
      <c r="M137" s="139">
        <f>SUMIFS('Sac Parça Detay'!$U$2:$U$544,'Sac Parça Detay'!$A$2:$A$544,A137)</f>
        <v>0.71807384572166066</v>
      </c>
      <c r="N137" s="140">
        <f>SUMIFS('Sac Parça Detay'!$S$2:$S$544,'Sac Parça Detay'!$A$2:$A$544,A137)</f>
        <v>2.5394312907047851</v>
      </c>
      <c r="O137" s="140">
        <f t="shared" si="14"/>
        <v>241.24597261695459</v>
      </c>
      <c r="P137" s="135">
        <v>0</v>
      </c>
      <c r="Q137" s="135" t="s">
        <v>1521</v>
      </c>
      <c r="R137" s="135" t="s">
        <v>130</v>
      </c>
      <c r="S137" s="135" t="s">
        <v>1520</v>
      </c>
    </row>
    <row r="138" spans="1:19" ht="15" customHeight="1" x14ac:dyDescent="0.25">
      <c r="A138" s="135" t="s">
        <v>549</v>
      </c>
      <c r="B138" s="135" t="s">
        <v>146</v>
      </c>
      <c r="C138" s="135" t="s">
        <v>99</v>
      </c>
      <c r="D138" s="136">
        <v>5</v>
      </c>
      <c r="E138" s="135">
        <f>COUNTIFS('Sac Parça Detay'!$A$2:$A$544,A138)</f>
        <v>2</v>
      </c>
      <c r="F138" s="135">
        <f>SUMIFS('Sac Parça Detay'!$G$2:$G$544,'Sac Parça Detay'!$A$2:$A$544,A138)</f>
        <v>3</v>
      </c>
      <c r="G138" s="137">
        <f>SUMPRODUCT(('Sac Parça Detay'!$A$2:$A$544=A138)*'Sac Parça Detay'!$K$2:$K$544*'Sac Parça Detay'!$G$2:$G$544)</f>
        <v>6.9960999999999995E-2</v>
      </c>
      <c r="H138" s="137">
        <f>SUMPRODUCT(('Sac Parça Detay'!$A$2:$A$544=A138)*'Sac Parça Detay'!$M$2:$M$544*'Sac Parça Detay'!$G$2:$G$544)</f>
        <v>8.8670468948035486E-2</v>
      </c>
      <c r="I138" s="137">
        <f t="shared" si="12"/>
        <v>1.870946894803549E-2</v>
      </c>
      <c r="J138" s="138">
        <f t="shared" si="13"/>
        <v>0.21100000000000002</v>
      </c>
      <c r="K138" s="139">
        <f>SUMIFS('Sac Parça Detay'!$T$2:$T$544,'Sac Parça Detay'!$A$2:$A$544,A138)</f>
        <v>2.7459692499999999</v>
      </c>
      <c r="L138" s="139">
        <f>SUMIFS('Sac Parça Detay'!$V$2:$V$544,'Sac Parça Detay'!$A$2:$A$544,A138)</f>
        <v>3.480315906210393</v>
      </c>
      <c r="M138" s="139">
        <f>SUMIFS('Sac Parça Detay'!$U$2:$U$544,'Sac Parça Detay'!$A$2:$A$544,A138)</f>
        <v>0.73434665621039275</v>
      </c>
      <c r="N138" s="140">
        <f>SUMIFS('Sac Parça Detay'!$S$2:$S$544,'Sac Parça Detay'!$A$2:$A$544,A138)</f>
        <v>2.5439210920267312</v>
      </c>
      <c r="O138" s="140">
        <f t="shared" si="14"/>
        <v>12.719605460133657</v>
      </c>
      <c r="P138" s="135">
        <v>0</v>
      </c>
      <c r="Q138" s="135" t="s">
        <v>1521</v>
      </c>
      <c r="R138" s="135" t="s">
        <v>130</v>
      </c>
      <c r="S138" s="135" t="s">
        <v>1520</v>
      </c>
    </row>
    <row r="139" spans="1:19" ht="15" customHeight="1" x14ac:dyDescent="0.25">
      <c r="A139" s="135" t="s">
        <v>617</v>
      </c>
      <c r="B139" s="135" t="s">
        <v>350</v>
      </c>
      <c r="C139" s="135" t="s">
        <v>194</v>
      </c>
      <c r="D139" s="136">
        <v>10</v>
      </c>
      <c r="E139" s="135">
        <f>COUNTIFS('Sac Parça Detay'!$A$2:$A$544,A139)</f>
        <v>2</v>
      </c>
      <c r="F139" s="135">
        <f>SUMIFS('Sac Parça Detay'!$G$2:$G$544,'Sac Parça Detay'!$A$2:$A$544,A139)</f>
        <v>4</v>
      </c>
      <c r="G139" s="137">
        <f>SUMPRODUCT(('Sac Parça Detay'!$A$2:$A$544=A139)*'Sac Parça Detay'!$K$2:$K$544*'Sac Parça Detay'!$G$2:$G$544)</f>
        <v>8.0560999999999994E-2</v>
      </c>
      <c r="H139" s="137">
        <f>SUMPRODUCT(('Sac Parça Detay'!$A$2:$A$544=A139)*'Sac Parça Detay'!$M$2:$M$544*'Sac Parça Detay'!$G$2:$G$544)</f>
        <v>9.8245121951219497E-2</v>
      </c>
      <c r="I139" s="137">
        <f t="shared" si="12"/>
        <v>1.7684121951219503E-2</v>
      </c>
      <c r="J139" s="138">
        <f t="shared" si="13"/>
        <v>0.17999999999999994</v>
      </c>
      <c r="K139" s="139">
        <f>SUMIFS('Sac Parça Detay'!$T$2:$T$544,'Sac Parça Detay'!$A$2:$A$544,A139)</f>
        <v>2.7660024499999998</v>
      </c>
      <c r="L139" s="139">
        <f>SUMIFS('Sac Parça Detay'!$V$2:$V$544,'Sac Parça Detay'!$A$2:$A$544,A139)</f>
        <v>3.3731737195121942</v>
      </c>
      <c r="M139" s="139">
        <f>SUMIFS('Sac Parça Detay'!$U$2:$U$544,'Sac Parça Detay'!$A$2:$A$544,A139)</f>
        <v>0.60717126951219458</v>
      </c>
      <c r="N139" s="140">
        <f>SUMIFS('Sac Parça Detay'!$S$2:$S$544,'Sac Parça Detay'!$A$2:$A$544,A139)</f>
        <v>2.4998283783148558</v>
      </c>
      <c r="O139" s="140">
        <f t="shared" si="14"/>
        <v>24.998283783148558</v>
      </c>
      <c r="P139" s="135">
        <v>0</v>
      </c>
      <c r="Q139" s="135" t="s">
        <v>1521</v>
      </c>
      <c r="R139" s="135" t="s">
        <v>130</v>
      </c>
      <c r="S139" s="135" t="s">
        <v>1520</v>
      </c>
    </row>
    <row r="140" spans="1:19" ht="15" customHeight="1" x14ac:dyDescent="0.25">
      <c r="A140" s="135" t="s">
        <v>573</v>
      </c>
      <c r="B140" s="135" t="s">
        <v>287</v>
      </c>
      <c r="C140" s="135" t="s">
        <v>99</v>
      </c>
      <c r="D140" s="136">
        <v>5</v>
      </c>
      <c r="E140" s="135">
        <f>COUNTIFS('Sac Parça Detay'!$A$2:$A$544,A140)</f>
        <v>2</v>
      </c>
      <c r="F140" s="135">
        <f>SUMIFS('Sac Parça Detay'!$G$2:$G$544,'Sac Parça Detay'!$A$2:$A$544,A140)</f>
        <v>2</v>
      </c>
      <c r="G140" s="137">
        <f>SUMPRODUCT(('Sac Parça Detay'!$A$2:$A$544=A140)*'Sac Parça Detay'!$K$2:$K$544*'Sac Parça Detay'!$G$2:$G$544)</f>
        <v>4.0037999999999997E-2</v>
      </c>
      <c r="H140" s="137">
        <f>SUMPRODUCT(('Sac Parça Detay'!$A$2:$A$544=A140)*'Sac Parça Detay'!$M$2:$M$544*'Sac Parça Detay'!$G$2:$G$544)</f>
        <v>5.0267918637361277E-2</v>
      </c>
      <c r="I140" s="137">
        <f t="shared" si="12"/>
        <v>1.0229918637361279E-2</v>
      </c>
      <c r="J140" s="138">
        <f t="shared" si="13"/>
        <v>0.20350790155369522</v>
      </c>
      <c r="K140" s="139">
        <f>SUMIFS('Sac Parça Detay'!$T$2:$T$544,'Sac Parça Detay'!$A$2:$A$544,A140)</f>
        <v>2.7519744999999993</v>
      </c>
      <c r="L140" s="139">
        <f>SUMIFS('Sac Parça Detay'!$V$2:$V$544,'Sac Parça Detay'!$A$2:$A$544,A140)</f>
        <v>3.4691919788865189</v>
      </c>
      <c r="M140" s="139">
        <f>SUMIFS('Sac Parça Detay'!$U$2:$U$544,'Sac Parça Detay'!$A$2:$A$544,A140)</f>
        <v>0.71721747888651888</v>
      </c>
      <c r="N140" s="140">
        <f>SUMIFS('Sac Parça Detay'!$S$2:$S$544,'Sac Parça Detay'!$A$2:$A$544,A140)</f>
        <v>2.5406278627463545</v>
      </c>
      <c r="O140" s="140">
        <f t="shared" si="14"/>
        <v>12.703139313731773</v>
      </c>
      <c r="P140" s="135">
        <v>0</v>
      </c>
      <c r="Q140" s="135" t="s">
        <v>1521</v>
      </c>
      <c r="R140" s="135" t="s">
        <v>130</v>
      </c>
      <c r="S140" s="135" t="s">
        <v>1520</v>
      </c>
    </row>
    <row r="141" spans="1:19" ht="15" customHeight="1" x14ac:dyDescent="0.25">
      <c r="A141" s="135" t="s">
        <v>574</v>
      </c>
      <c r="B141" s="135" t="s">
        <v>288</v>
      </c>
      <c r="C141" s="135" t="s">
        <v>99</v>
      </c>
      <c r="D141" s="136">
        <v>5</v>
      </c>
      <c r="E141" s="135">
        <f>COUNTIFS('Sac Parça Detay'!$A$2:$A$544,A141)</f>
        <v>2</v>
      </c>
      <c r="F141" s="135">
        <f>SUMIFS('Sac Parça Detay'!$G$2:$G$544,'Sac Parça Detay'!$A$2:$A$544,A141)</f>
        <v>2</v>
      </c>
      <c r="G141" s="137">
        <f>SUMPRODUCT(('Sac Parça Detay'!$A$2:$A$544=A141)*'Sac Parça Detay'!$K$2:$K$544*'Sac Parça Detay'!$G$2:$G$544)</f>
        <v>4.0037999999999997E-2</v>
      </c>
      <c r="H141" s="137">
        <f>SUMPRODUCT(('Sac Parça Detay'!$A$2:$A$544=A141)*'Sac Parça Detay'!$M$2:$M$544*'Sac Parça Detay'!$G$2:$G$544)</f>
        <v>5.0267918637361277E-2</v>
      </c>
      <c r="I141" s="137">
        <f t="shared" si="12"/>
        <v>1.0229918637361279E-2</v>
      </c>
      <c r="J141" s="138">
        <f t="shared" si="13"/>
        <v>0.20350790155369522</v>
      </c>
      <c r="K141" s="139">
        <f>SUMIFS('Sac Parça Detay'!$T$2:$T$544,'Sac Parça Detay'!$A$2:$A$544,A141)</f>
        <v>2.7519744999999993</v>
      </c>
      <c r="L141" s="139">
        <f>SUMIFS('Sac Parça Detay'!$V$2:$V$544,'Sac Parça Detay'!$A$2:$A$544,A141)</f>
        <v>3.4691919788865189</v>
      </c>
      <c r="M141" s="139">
        <f>SUMIFS('Sac Parça Detay'!$U$2:$U$544,'Sac Parça Detay'!$A$2:$A$544,A141)</f>
        <v>0.71721747888651888</v>
      </c>
      <c r="N141" s="140">
        <f>SUMIFS('Sac Parça Detay'!$S$2:$S$544,'Sac Parça Detay'!$A$2:$A$544,A141)</f>
        <v>2.5406278627463545</v>
      </c>
      <c r="O141" s="140">
        <f t="shared" si="14"/>
        <v>12.703139313731773</v>
      </c>
      <c r="P141" s="135">
        <v>0</v>
      </c>
      <c r="Q141" s="135" t="s">
        <v>1521</v>
      </c>
      <c r="R141" s="135" t="s">
        <v>130</v>
      </c>
      <c r="S141" s="135" t="s">
        <v>1520</v>
      </c>
    </row>
    <row r="142" spans="1:19" ht="15" customHeight="1" x14ac:dyDescent="0.25">
      <c r="A142" s="135" t="s">
        <v>464</v>
      </c>
      <c r="B142" s="135" t="s">
        <v>136</v>
      </c>
      <c r="C142" s="135" t="s">
        <v>137</v>
      </c>
      <c r="D142" s="136">
        <v>176</v>
      </c>
      <c r="E142" s="135">
        <f>COUNTIFS('Sac Parça Detay'!$A$2:$A$544,A142)</f>
        <v>2</v>
      </c>
      <c r="F142" s="135">
        <f>SUMIFS('Sac Parça Detay'!$G$2:$G$544,'Sac Parça Detay'!$A$2:$A$544,A142)</f>
        <v>2</v>
      </c>
      <c r="G142" s="137">
        <f>SUMPRODUCT(('Sac Parça Detay'!$A$2:$A$544=A142)*'Sac Parça Detay'!$K$2:$K$544*'Sac Parça Detay'!$G$2:$G$544)</f>
        <v>4.3597999999999998E-2</v>
      </c>
      <c r="H142" s="137">
        <f>SUMPRODUCT(('Sac Parça Detay'!$A$2:$A$544=A142)*'Sac Parça Detay'!$M$2:$M$544*'Sac Parça Detay'!$G$2:$G$544)</f>
        <v>5.1453865652724966E-2</v>
      </c>
      <c r="I142" s="137">
        <f t="shared" si="12"/>
        <v>7.8558656527249679E-3</v>
      </c>
      <c r="J142" s="138">
        <f t="shared" si="13"/>
        <v>0.15267785137362028</v>
      </c>
      <c r="K142" s="139">
        <f>SUMIFS('Sac Parça Detay'!$T$2:$T$544,'Sac Parça Detay'!$A$2:$A$544,A142)</f>
        <v>2.7379543999999996</v>
      </c>
      <c r="L142" s="139">
        <f>SUMIFS('Sac Parça Detay'!$V$2:$V$544,'Sac Parça Detay'!$A$2:$A$544,A142)</f>
        <v>3.2313027629911275</v>
      </c>
      <c r="M142" s="139">
        <f>SUMIFS('Sac Parça Detay'!$U$2:$U$544,'Sac Parça Detay'!$A$2:$A$544,A142)</f>
        <v>0.49334836299112794</v>
      </c>
      <c r="N142" s="140">
        <f>SUMIFS('Sac Parça Detay'!$S$2:$S$544,'Sac Parça Detay'!$A$2:$A$544,A142)</f>
        <v>2.4235827461412605</v>
      </c>
      <c r="O142" s="140">
        <f t="shared" si="14"/>
        <v>426.55056332086184</v>
      </c>
      <c r="P142" s="135">
        <v>0</v>
      </c>
      <c r="Q142" s="135" t="s">
        <v>1525</v>
      </c>
      <c r="R142" s="135" t="s">
        <v>130</v>
      </c>
      <c r="S142" s="135" t="s">
        <v>1520</v>
      </c>
    </row>
    <row r="143" spans="1:19" ht="15" customHeight="1" x14ac:dyDescent="0.25">
      <c r="A143" s="135" t="s">
        <v>480</v>
      </c>
      <c r="B143" s="135" t="s">
        <v>160</v>
      </c>
      <c r="C143" s="135" t="s">
        <v>99</v>
      </c>
      <c r="D143" s="136">
        <v>93</v>
      </c>
      <c r="E143" s="135">
        <f>COUNTIFS('Sac Parça Detay'!$A$2:$A$544,A143)</f>
        <v>2</v>
      </c>
      <c r="F143" s="135">
        <f>SUMIFS('Sac Parça Detay'!$G$2:$G$544,'Sac Parça Detay'!$A$2:$A$544,A143)</f>
        <v>2</v>
      </c>
      <c r="G143" s="137">
        <f>SUMPRODUCT(('Sac Parça Detay'!$A$2:$A$544=A143)*'Sac Parça Detay'!$K$2:$K$544*'Sac Parça Detay'!$G$2:$G$544)</f>
        <v>8.2463000000000009E-2</v>
      </c>
      <c r="H143" s="137">
        <f>SUMPRODUCT(('Sac Parça Detay'!$A$2:$A$544=A143)*'Sac Parça Detay'!$M$2:$M$544*'Sac Parça Detay'!$G$2:$G$544)</f>
        <v>0.10208856842560821</v>
      </c>
      <c r="I143" s="137">
        <f t="shared" si="12"/>
        <v>1.9625568425608197E-2</v>
      </c>
      <c r="J143" s="138">
        <f t="shared" si="13"/>
        <v>0.19224060762404874</v>
      </c>
      <c r="K143" s="139">
        <f>SUMIFS('Sac Parça Detay'!$T$2:$T$544,'Sac Parça Detay'!$A$2:$A$544,A143)</f>
        <v>2.6910113999999998</v>
      </c>
      <c r="L143" s="139">
        <f>SUMIFS('Sac Parça Detay'!$V$2:$V$544,'Sac Parça Detay'!$A$2:$A$544,A143)</f>
        <v>3.3534985240656585</v>
      </c>
      <c r="M143" s="139">
        <f>SUMIFS('Sac Parça Detay'!$U$2:$U$544,'Sac Parça Detay'!$A$2:$A$544,A143)</f>
        <v>0.66248712406565868</v>
      </c>
      <c r="N143" s="140">
        <f>SUMIFS('Sac Parça Detay'!$S$2:$S$544,'Sac Parça Detay'!$A$2:$A$544,A143)</f>
        <v>2.4659848513764935</v>
      </c>
      <c r="O143" s="140">
        <f t="shared" si="14"/>
        <v>229.33659117801389</v>
      </c>
      <c r="P143" s="135">
        <v>2</v>
      </c>
      <c r="Q143" s="135" t="s">
        <v>1521</v>
      </c>
      <c r="R143" s="135" t="s">
        <v>130</v>
      </c>
      <c r="S143" s="135" t="s">
        <v>1520</v>
      </c>
    </row>
    <row r="144" spans="1:19" ht="15" customHeight="1" x14ac:dyDescent="0.25">
      <c r="A144" s="135" t="s">
        <v>566</v>
      </c>
      <c r="B144" s="135" t="s">
        <v>278</v>
      </c>
      <c r="C144" s="135" t="s">
        <v>119</v>
      </c>
      <c r="D144" s="136">
        <v>5</v>
      </c>
      <c r="E144" s="135">
        <f>COUNTIFS('Sac Parça Detay'!$A$2:$A$544,A144)</f>
        <v>2</v>
      </c>
      <c r="F144" s="135">
        <f>SUMIFS('Sac Parça Detay'!$G$2:$G$544,'Sac Parça Detay'!$A$2:$A$544,A144)</f>
        <v>2</v>
      </c>
      <c r="G144" s="137">
        <f>SUMPRODUCT(('Sac Parça Detay'!$A$2:$A$544=A144)*'Sac Parça Detay'!$K$2:$K$544*'Sac Parça Detay'!$G$2:$G$544)</f>
        <v>4.3482E-2</v>
      </c>
      <c r="H144" s="137">
        <f>SUMPRODUCT(('Sac Parça Detay'!$A$2:$A$544=A144)*'Sac Parça Detay'!$M$2:$M$544*'Sac Parça Detay'!$G$2:$G$544)</f>
        <v>5.4769447278122968E-2</v>
      </c>
      <c r="I144" s="137">
        <f t="shared" si="12"/>
        <v>1.1287447278122968E-2</v>
      </c>
      <c r="J144" s="138">
        <f t="shared" si="13"/>
        <v>0.2060902170658131</v>
      </c>
      <c r="K144" s="139">
        <f>SUMIFS('Sac Parça Detay'!$T$2:$T$544,'Sac Parça Detay'!$A$2:$A$544,A144)</f>
        <v>2.6189954999999996</v>
      </c>
      <c r="L144" s="139">
        <f>SUMIFS('Sac Parça Detay'!$V$2:$V$544,'Sac Parça Detay'!$A$2:$A$544,A144)</f>
        <v>3.3033333622368541</v>
      </c>
      <c r="M144" s="139">
        <f>SUMIFS('Sac Parça Detay'!$U$2:$U$544,'Sac Parça Detay'!$A$2:$A$544,A144)</f>
        <v>0.68433786223685422</v>
      </c>
      <c r="N144" s="140">
        <f>SUMIFS('Sac Parça Detay'!$S$2:$S$544,'Sac Parça Detay'!$A$2:$A$544,A144)</f>
        <v>2.4187015712392403</v>
      </c>
      <c r="O144" s="140">
        <f t="shared" si="14"/>
        <v>12.093507856196201</v>
      </c>
      <c r="P144" s="135">
        <v>0</v>
      </c>
      <c r="Q144" s="135" t="s">
        <v>1521</v>
      </c>
      <c r="R144" s="135" t="s">
        <v>130</v>
      </c>
      <c r="S144" s="135" t="s">
        <v>1520</v>
      </c>
    </row>
    <row r="145" spans="1:19" ht="15" customHeight="1" x14ac:dyDescent="0.25">
      <c r="A145" s="135" t="s">
        <v>576</v>
      </c>
      <c r="B145" s="135" t="s">
        <v>291</v>
      </c>
      <c r="C145" s="135" t="s">
        <v>117</v>
      </c>
      <c r="D145" s="136">
        <v>1</v>
      </c>
      <c r="E145" s="135">
        <f>COUNTIFS('Sac Parça Detay'!$A$2:$A$544,A145)</f>
        <v>1</v>
      </c>
      <c r="F145" s="135">
        <f>SUMIFS('Sac Parça Detay'!$G$2:$G$544,'Sac Parça Detay'!$A$2:$A$544,A145)</f>
        <v>1</v>
      </c>
      <c r="G145" s="137">
        <f>SUMPRODUCT(('Sac Parça Detay'!$A$2:$A$544=A145)*'Sac Parça Detay'!$K$2:$K$544*'Sac Parça Detay'!$G$2:$G$544)</f>
        <v>2.1401E-2</v>
      </c>
      <c r="H145" s="137">
        <f>SUMPRODUCT(('Sac Parça Detay'!$A$2:$A$544=A145)*'Sac Parça Detay'!$M$2:$M$544*'Sac Parça Detay'!$G$2:$G$544)</f>
        <v>2.6098780487804875E-2</v>
      </c>
      <c r="I145" s="137">
        <f t="shared" si="12"/>
        <v>4.697780487804875E-3</v>
      </c>
      <c r="J145" s="138">
        <f t="shared" si="13"/>
        <v>0.17999999999999991</v>
      </c>
      <c r="K145" s="139">
        <f>SUMIFS('Sac Parça Detay'!$T$2:$T$544,'Sac Parça Detay'!$A$2:$A$544,A145)</f>
        <v>0.67199140000000002</v>
      </c>
      <c r="L145" s="139">
        <f>SUMIFS('Sac Parça Detay'!$V$2:$V$544,'Sac Parça Detay'!$A$2:$A$544,A145)</f>
        <v>0.81950170731707306</v>
      </c>
      <c r="M145" s="139">
        <f>SUMIFS('Sac Parça Detay'!$U$2:$U$544,'Sac Parça Detay'!$A$2:$A$544,A145)</f>
        <v>0.14751030731707307</v>
      </c>
      <c r="N145" s="140">
        <f>SUMIFS('Sac Parça Detay'!$S$2:$S$544,'Sac Parça Detay'!$A$2:$A$544,A145)</f>
        <v>0.6073252652771618</v>
      </c>
      <c r="O145" s="140">
        <f t="shared" si="14"/>
        <v>0.6073252652771618</v>
      </c>
      <c r="P145" s="135">
        <v>5</v>
      </c>
      <c r="Q145" s="135" t="s">
        <v>1521</v>
      </c>
      <c r="R145" s="135" t="s">
        <v>130</v>
      </c>
      <c r="S145" s="135" t="s">
        <v>1520</v>
      </c>
    </row>
    <row r="146" spans="1:19" ht="15" customHeight="1" x14ac:dyDescent="0.25">
      <c r="A146" s="135" t="s">
        <v>465</v>
      </c>
      <c r="B146" s="135" t="s">
        <v>138</v>
      </c>
      <c r="C146" s="135" t="s">
        <v>139</v>
      </c>
      <c r="D146" s="136">
        <v>81</v>
      </c>
      <c r="E146" s="135">
        <f>COUNTIFS('Sac Parça Detay'!$A$2:$A$544,A146)</f>
        <v>3</v>
      </c>
      <c r="F146" s="135">
        <f>SUMIFS('Sac Parça Detay'!$G$2:$G$544,'Sac Parça Detay'!$A$2:$A$544,A146)</f>
        <v>3</v>
      </c>
      <c r="G146" s="137">
        <f>SUMPRODUCT(('Sac Parça Detay'!$A$2:$A$544=A146)*'Sac Parça Detay'!$K$2:$K$544*'Sac Parça Detay'!$G$2:$G$544)</f>
        <v>8.0573000000000006E-2</v>
      </c>
      <c r="H146" s="137">
        <f>SUMPRODUCT(('Sac Parça Detay'!$A$2:$A$544=A146)*'Sac Parça Detay'!$M$2:$M$544*'Sac Parça Detay'!$G$2:$G$544)</f>
        <v>0.10157714612507342</v>
      </c>
      <c r="I146" s="137">
        <f t="shared" si="12"/>
        <v>2.1004146125073411E-2</v>
      </c>
      <c r="J146" s="138">
        <f t="shared" si="13"/>
        <v>0.20678023479032084</v>
      </c>
      <c r="K146" s="139">
        <f>SUMIFS('Sac Parça Detay'!$T$2:$T$544,'Sac Parça Detay'!$A$2:$A$544,A146)</f>
        <v>2.5299922000000001</v>
      </c>
      <c r="L146" s="139">
        <f>SUMIFS('Sac Parça Detay'!$V$2:$V$544,'Sac Parça Detay'!$A$2:$A$544,A146)</f>
        <v>3.1895223883273052</v>
      </c>
      <c r="M146" s="139">
        <f>SUMIFS('Sac Parça Detay'!$U$2:$U$544,'Sac Parça Detay'!$A$2:$A$544,A146)</f>
        <v>0.65953018832730526</v>
      </c>
      <c r="N146" s="140">
        <f>SUMIFS('Sac Parça Detay'!$S$2:$S$544,'Sac Parça Detay'!$A$2:$A$544,A146)</f>
        <v>2.3357716672092717</v>
      </c>
      <c r="O146" s="140">
        <f t="shared" si="14"/>
        <v>189.197505043951</v>
      </c>
      <c r="P146" s="135">
        <v>0</v>
      </c>
      <c r="Q146" s="135" t="s">
        <v>1521</v>
      </c>
      <c r="R146" s="135" t="s">
        <v>130</v>
      </c>
      <c r="S146" s="135" t="s">
        <v>1520</v>
      </c>
    </row>
    <row r="147" spans="1:19" ht="15" customHeight="1" x14ac:dyDescent="0.25">
      <c r="A147" s="135" t="s">
        <v>550</v>
      </c>
      <c r="B147" s="135" t="s">
        <v>254</v>
      </c>
      <c r="C147" s="135" t="s">
        <v>255</v>
      </c>
      <c r="D147" s="136">
        <v>10</v>
      </c>
      <c r="E147" s="135">
        <f>COUNTIFS('Sac Parça Detay'!$A$2:$A$544,A147)</f>
        <v>2</v>
      </c>
      <c r="F147" s="135">
        <f>SUMIFS('Sac Parça Detay'!$G$2:$G$544,'Sac Parça Detay'!$A$2:$A$544,A147)</f>
        <v>2</v>
      </c>
      <c r="G147" s="137">
        <f>SUMPRODUCT(('Sac Parça Detay'!$A$2:$A$544=A147)*'Sac Parça Detay'!$K$2:$K$544*'Sac Parça Detay'!$G$2:$G$544)</f>
        <v>5.1593E-2</v>
      </c>
      <c r="H147" s="137">
        <f>SUMPRODUCT(('Sac Parça Detay'!$A$2:$A$544=A147)*'Sac Parça Detay'!$M$2:$M$544*'Sac Parça Detay'!$G$2:$G$544)</f>
        <v>6.5070918730099847E-2</v>
      </c>
      <c r="I147" s="137">
        <f t="shared" si="12"/>
        <v>1.3477918730099847E-2</v>
      </c>
      <c r="J147" s="138">
        <f t="shared" si="13"/>
        <v>0.20712660883125611</v>
      </c>
      <c r="K147" s="139">
        <f>SUMIFS('Sac Parça Detay'!$T$2:$T$544,'Sac Parça Detay'!$A$2:$A$544,A147)</f>
        <v>2.4300303000000003</v>
      </c>
      <c r="L147" s="139">
        <f>SUMIFS('Sac Parça Detay'!$V$2:$V$544,'Sac Parça Detay'!$A$2:$A$544,A147)</f>
        <v>3.0648402721877024</v>
      </c>
      <c r="M147" s="139">
        <f>SUMIFS('Sac Parça Detay'!$U$2:$U$544,'Sac Parça Detay'!$A$2:$A$544,A147)</f>
        <v>0.63480997218770252</v>
      </c>
      <c r="N147" s="140">
        <f>SUMIFS('Sac Parça Detay'!$S$2:$S$544,'Sac Parça Detay'!$A$2:$A$544,A147)</f>
        <v>2.2441162268523684</v>
      </c>
      <c r="O147" s="140">
        <f t="shared" si="14"/>
        <v>22.441162268523684</v>
      </c>
      <c r="P147" s="135">
        <v>0</v>
      </c>
      <c r="Q147" s="135" t="s">
        <v>1521</v>
      </c>
      <c r="R147" s="135" t="s">
        <v>130</v>
      </c>
      <c r="S147" s="135" t="s">
        <v>1520</v>
      </c>
    </row>
    <row r="148" spans="1:19" ht="15" customHeight="1" x14ac:dyDescent="0.25">
      <c r="A148" s="135" t="s">
        <v>607</v>
      </c>
      <c r="B148" s="135" t="s">
        <v>333</v>
      </c>
      <c r="C148" s="135" t="s">
        <v>139</v>
      </c>
      <c r="D148" s="136">
        <v>26</v>
      </c>
      <c r="E148" s="135">
        <f>COUNTIFS('Sac Parça Detay'!$A$2:$A$544,A148)</f>
        <v>1</v>
      </c>
      <c r="F148" s="135">
        <f>SUMIFS('Sac Parça Detay'!$G$2:$G$544,'Sac Parça Detay'!$A$2:$A$544,A148)</f>
        <v>1</v>
      </c>
      <c r="G148" s="137">
        <f>SUMPRODUCT(('Sac Parça Detay'!$A$2:$A$544=A148)*'Sac Parça Detay'!$K$2:$K$544*'Sac Parça Detay'!$G$2:$G$544)</f>
        <v>1.7912999999999998E-2</v>
      </c>
      <c r="H148" s="137">
        <f>SUMPRODUCT(('Sac Parça Detay'!$A$2:$A$544=A148)*'Sac Parça Detay'!$M$2:$M$544*'Sac Parça Detay'!$G$2:$G$544)</f>
        <v>1.89E-2</v>
      </c>
      <c r="I148" s="137">
        <f t="shared" si="12"/>
        <v>9.8700000000000176E-4</v>
      </c>
      <c r="J148" s="138">
        <f t="shared" si="13"/>
        <v>5.2222222222222316E-2</v>
      </c>
      <c r="K148" s="139">
        <f>SUMIFS('Sac Parça Detay'!$T$2:$T$544,'Sac Parça Detay'!$A$2:$A$544,A148)</f>
        <v>1.1249363999999999</v>
      </c>
      <c r="L148" s="139">
        <f>SUMIFS('Sac Parça Detay'!$V$2:$V$544,'Sac Parça Detay'!$A$2:$A$544,A148)</f>
        <v>1.18692</v>
      </c>
      <c r="M148" s="139">
        <f>SUMIFS('Sac Parça Detay'!$U$2:$U$544,'Sac Parça Detay'!$A$2:$A$544,A148)</f>
        <v>6.1983600000000111E-2</v>
      </c>
      <c r="N148" s="140">
        <f>SUMIFS('Sac Parça Detay'!$S$2:$S$544,'Sac Parça Detay'!$A$2:$A$544,A148)</f>
        <v>0.92925045818181817</v>
      </c>
      <c r="O148" s="140">
        <f t="shared" si="14"/>
        <v>24.160511912727273</v>
      </c>
      <c r="P148" s="135">
        <v>1</v>
      </c>
      <c r="Q148" s="135" t="s">
        <v>1525</v>
      </c>
      <c r="R148" s="135" t="s">
        <v>130</v>
      </c>
      <c r="S148" s="135" t="s">
        <v>1520</v>
      </c>
    </row>
    <row r="149" spans="1:19" ht="15" customHeight="1" x14ac:dyDescent="0.25">
      <c r="A149" s="135" t="s">
        <v>598</v>
      </c>
      <c r="B149" s="135" t="s">
        <v>240</v>
      </c>
      <c r="C149" s="135" t="s">
        <v>139</v>
      </c>
      <c r="D149" s="136">
        <v>16</v>
      </c>
      <c r="E149" s="135">
        <f>COUNTIFS('Sac Parça Detay'!$A$2:$A$544,A149)</f>
        <v>2</v>
      </c>
      <c r="F149" s="135">
        <f>SUMIFS('Sac Parça Detay'!$G$2:$G$544,'Sac Parça Detay'!$A$2:$A$544,A149)</f>
        <v>2</v>
      </c>
      <c r="G149" s="137">
        <f>SUMPRODUCT(('Sac Parça Detay'!$A$2:$A$544=A149)*'Sac Parça Detay'!$K$2:$K$544*'Sac Parça Detay'!$G$2:$G$544)</f>
        <v>6.0994E-2</v>
      </c>
      <c r="H149" s="137">
        <f>SUMPRODUCT(('Sac Parça Detay'!$A$2:$A$544=A149)*'Sac Parça Detay'!$M$2:$M$544*'Sac Parça Detay'!$G$2:$G$544)</f>
        <v>7.7305449936628634E-2</v>
      </c>
      <c r="I149" s="137">
        <f t="shared" si="12"/>
        <v>1.6311449936628634E-2</v>
      </c>
      <c r="J149" s="138">
        <f t="shared" si="13"/>
        <v>0.21099999999999991</v>
      </c>
      <c r="K149" s="139">
        <f>SUMIFS('Sac Parça Detay'!$T$2:$T$544,'Sac Parça Detay'!$A$2:$A$544,A149)</f>
        <v>2.3940144999999999</v>
      </c>
      <c r="L149" s="139">
        <f>SUMIFS('Sac Parça Detay'!$V$2:$V$544,'Sac Parça Detay'!$A$2:$A$544,A149)</f>
        <v>3.0342389100126739</v>
      </c>
      <c r="M149" s="139">
        <f>SUMIFS('Sac Parça Detay'!$U$2:$U$544,'Sac Parça Detay'!$A$2:$A$544,A149)</f>
        <v>0.64022441001267394</v>
      </c>
      <c r="N149" s="140">
        <f>SUMIFS('Sac Parça Detay'!$S$2:$S$544,'Sac Parça Detay'!$A$2:$A$544,A149)</f>
        <v>2.2178631392787187</v>
      </c>
      <c r="O149" s="140">
        <f t="shared" si="14"/>
        <v>35.485810228459499</v>
      </c>
      <c r="P149" s="135">
        <v>0</v>
      </c>
      <c r="Q149" s="135" t="s">
        <v>1521</v>
      </c>
      <c r="R149" s="135" t="s">
        <v>130</v>
      </c>
      <c r="S149" s="135" t="s">
        <v>1520</v>
      </c>
    </row>
    <row r="150" spans="1:19" ht="15" customHeight="1" x14ac:dyDescent="0.25">
      <c r="A150" s="135" t="s">
        <v>610</v>
      </c>
      <c r="B150" s="135" t="s">
        <v>339</v>
      </c>
      <c r="C150" s="135" t="s">
        <v>340</v>
      </c>
      <c r="D150" s="136">
        <v>9</v>
      </c>
      <c r="E150" s="135">
        <f>COUNTIFS('Sac Parça Detay'!$A$2:$A$544,A150)</f>
        <v>3</v>
      </c>
      <c r="F150" s="135">
        <f>SUMIFS('Sac Parça Detay'!$G$2:$G$544,'Sac Parça Detay'!$A$2:$A$544,A150)</f>
        <v>4</v>
      </c>
      <c r="G150" s="137">
        <f>SUMPRODUCT(('Sac Parça Detay'!$A$2:$A$544=A150)*'Sac Parça Detay'!$K$2:$K$544*'Sac Parça Detay'!$G$2:$G$544)</f>
        <v>4.1592000000000004E-2</v>
      </c>
      <c r="H150" s="137">
        <f>SUMPRODUCT(('Sac Parça Detay'!$A$2:$A$544=A150)*'Sac Parça Detay'!$M$2:$M$544*'Sac Parça Detay'!$G$2:$G$544)</f>
        <v>5.1446760332622334E-2</v>
      </c>
      <c r="I150" s="137">
        <f t="shared" si="12"/>
        <v>9.8547603326223296E-3</v>
      </c>
      <c r="J150" s="138">
        <f t="shared" si="13"/>
        <v>0.19155259279510817</v>
      </c>
      <c r="K150" s="139">
        <f>SUMIFS('Sac Parça Detay'!$T$2:$T$544,'Sac Parça Detay'!$A$2:$A$544,A150)</f>
        <v>2.2879766999999998</v>
      </c>
      <c r="L150" s="139">
        <f>SUMIFS('Sac Parça Detay'!$V$2:$V$544,'Sac Parça Detay'!$A$2:$A$544,A150)</f>
        <v>2.8357335001081947</v>
      </c>
      <c r="M150" s="139">
        <f>SUMIFS('Sac Parça Detay'!$U$2:$U$544,'Sac Parça Detay'!$A$2:$A$544,A150)</f>
        <v>0.54775680010819472</v>
      </c>
      <c r="N150" s="140">
        <f>SUMIFS('Sac Parça Detay'!$S$2:$S$544,'Sac Parça Detay'!$A$2:$A$544,A150)</f>
        <v>2.0893209382329649</v>
      </c>
      <c r="O150" s="140">
        <f t="shared" si="14"/>
        <v>18.803888444096685</v>
      </c>
      <c r="P150" s="135">
        <v>0</v>
      </c>
      <c r="Q150" s="135" t="s">
        <v>1521</v>
      </c>
      <c r="R150" s="135" t="s">
        <v>130</v>
      </c>
      <c r="S150" s="135" t="s">
        <v>1520</v>
      </c>
    </row>
    <row r="151" spans="1:19" ht="15" customHeight="1" x14ac:dyDescent="0.25">
      <c r="A151" s="135" t="s">
        <v>619</v>
      </c>
      <c r="B151" s="135" t="s">
        <v>352</v>
      </c>
      <c r="C151" s="135" t="s">
        <v>139</v>
      </c>
      <c r="D151" s="136">
        <v>10</v>
      </c>
      <c r="E151" s="135">
        <f>COUNTIFS('Sac Parça Detay'!$A$2:$A$544,A151)</f>
        <v>0</v>
      </c>
      <c r="F151" s="135">
        <f>SUMIFS('Sac Parça Detay'!$G$2:$G$544,'Sac Parça Detay'!$A$2:$A$544,A151)</f>
        <v>0</v>
      </c>
      <c r="G151" s="137">
        <f>SUMPRODUCT(('Sac Parça Detay'!$A$2:$A$544=A151)*'Sac Parça Detay'!$K$2:$K$544*'Sac Parça Detay'!$G$2:$G$544)</f>
        <v>0</v>
      </c>
      <c r="H151" s="137">
        <f>SUMPRODUCT(('Sac Parça Detay'!$A$2:$A$544=A151)*'Sac Parça Detay'!$M$2:$M$544*'Sac Parça Detay'!$G$2:$G$544)</f>
        <v>0</v>
      </c>
      <c r="I151" s="137">
        <f t="shared" si="12"/>
        <v>0</v>
      </c>
      <c r="J151" s="138">
        <f t="shared" si="13"/>
        <v>0</v>
      </c>
      <c r="K151" s="139">
        <f>SUMIFS('Sac Parça Detay'!$T$2:$T$544,'Sac Parça Detay'!$A$2:$A$544,A151)</f>
        <v>0</v>
      </c>
      <c r="L151" s="139">
        <f>SUMIFS('Sac Parça Detay'!$V$2:$V$544,'Sac Parça Detay'!$A$2:$A$544,A151)</f>
        <v>0</v>
      </c>
      <c r="M151" s="139">
        <f>SUMIFS('Sac Parça Detay'!$U$2:$U$544,'Sac Parça Detay'!$A$2:$A$544,A151)</f>
        <v>0</v>
      </c>
      <c r="N151" s="140">
        <f>SUMIFS('Sac Parça Detay'!$S$2:$S$544,'Sac Parça Detay'!$A$2:$A$544,A151)</f>
        <v>0</v>
      </c>
      <c r="O151" s="140">
        <f t="shared" si="14"/>
        <v>0</v>
      </c>
      <c r="P151" s="135">
        <v>2</v>
      </c>
      <c r="Q151" s="135" t="s">
        <v>1521</v>
      </c>
      <c r="R151" s="135" t="s">
        <v>130</v>
      </c>
      <c r="S151" s="135" t="s">
        <v>1520</v>
      </c>
    </row>
    <row r="152" spans="1:19" ht="15" customHeight="1" x14ac:dyDescent="0.25">
      <c r="A152" s="135" t="s">
        <v>483</v>
      </c>
      <c r="B152" s="135" t="s">
        <v>164</v>
      </c>
      <c r="C152" s="135" t="s">
        <v>117</v>
      </c>
      <c r="D152" s="136">
        <v>174</v>
      </c>
      <c r="E152" s="135">
        <f>COUNTIFS('Sac Parça Detay'!$A$2:$A$544,A152)</f>
        <v>0</v>
      </c>
      <c r="F152" s="135">
        <f>SUMIFS('Sac Parça Detay'!$G$2:$G$544,'Sac Parça Detay'!$A$2:$A$544,A152)</f>
        <v>0</v>
      </c>
      <c r="G152" s="137">
        <f>SUMPRODUCT(('Sac Parça Detay'!$A$2:$A$544=A152)*'Sac Parça Detay'!$K$2:$K$544*'Sac Parça Detay'!$G$2:$G$544)</f>
        <v>0</v>
      </c>
      <c r="H152" s="137">
        <f>SUMPRODUCT(('Sac Parça Detay'!$A$2:$A$544=A152)*'Sac Parça Detay'!$M$2:$M$544*'Sac Parça Detay'!$G$2:$G$544)</f>
        <v>0</v>
      </c>
      <c r="I152" s="137">
        <f t="shared" si="12"/>
        <v>0</v>
      </c>
      <c r="J152" s="138">
        <f t="shared" si="13"/>
        <v>0</v>
      </c>
      <c r="K152" s="139">
        <f>SUMIFS('Sac Parça Detay'!$T$2:$T$544,'Sac Parça Detay'!$A$2:$A$544,A152)</f>
        <v>0</v>
      </c>
      <c r="L152" s="139">
        <f>SUMIFS('Sac Parça Detay'!$V$2:$V$544,'Sac Parça Detay'!$A$2:$A$544,A152)</f>
        <v>0</v>
      </c>
      <c r="M152" s="139">
        <f>SUMIFS('Sac Parça Detay'!$U$2:$U$544,'Sac Parça Detay'!$A$2:$A$544,A152)</f>
        <v>0</v>
      </c>
      <c r="N152" s="140">
        <f>SUMIFS('Sac Parça Detay'!$S$2:$S$544,'Sac Parça Detay'!$A$2:$A$544,A152)</f>
        <v>0</v>
      </c>
      <c r="O152" s="140">
        <f t="shared" si="14"/>
        <v>0</v>
      </c>
      <c r="P152" s="135">
        <v>2</v>
      </c>
      <c r="Q152" s="135" t="s">
        <v>1521</v>
      </c>
      <c r="R152" s="135" t="s">
        <v>130</v>
      </c>
      <c r="S152" s="135" t="s">
        <v>1520</v>
      </c>
    </row>
    <row r="153" spans="1:19" ht="15" customHeight="1" x14ac:dyDescent="0.25">
      <c r="A153" s="135" t="s">
        <v>552</v>
      </c>
      <c r="B153" s="135" t="s">
        <v>258</v>
      </c>
      <c r="C153" s="135" t="s">
        <v>99</v>
      </c>
      <c r="D153" s="136">
        <v>5</v>
      </c>
      <c r="E153" s="135">
        <f>COUNTIFS('Sac Parça Detay'!$A$2:$A$544,A153)</f>
        <v>2</v>
      </c>
      <c r="F153" s="135">
        <f>SUMIFS('Sac Parça Detay'!$G$2:$G$544,'Sac Parça Detay'!$A$2:$A$544,A153)</f>
        <v>3</v>
      </c>
      <c r="G153" s="137">
        <f>SUMPRODUCT(('Sac Parça Detay'!$A$2:$A$544=A153)*'Sac Parça Detay'!$K$2:$K$544*'Sac Parça Detay'!$G$2:$G$544)</f>
        <v>8.8725999999999999E-2</v>
      </c>
      <c r="H153" s="137">
        <f>SUMPRODUCT(('Sac Parça Detay'!$A$2:$A$544=A153)*'Sac Parça Detay'!$M$2:$M$544*'Sac Parça Detay'!$G$2:$G$544)</f>
        <v>0.11245373891001266</v>
      </c>
      <c r="I153" s="137">
        <f t="shared" si="12"/>
        <v>2.3727738910012661E-2</v>
      </c>
      <c r="J153" s="138">
        <f t="shared" si="13"/>
        <v>0.21099999999999991</v>
      </c>
      <c r="K153" s="139">
        <f>SUMIFS('Sac Parça Detay'!$T$2:$T$544,'Sac Parça Detay'!$A$2:$A$544,A153)</f>
        <v>2.1319971999999998</v>
      </c>
      <c r="L153" s="139">
        <f>SUMIFS('Sac Parça Detay'!$V$2:$V$544,'Sac Parça Detay'!$A$2:$A$544,A153)</f>
        <v>2.7021510773130544</v>
      </c>
      <c r="M153" s="139">
        <f>SUMIFS('Sac Parça Detay'!$U$2:$U$544,'Sac Parça Detay'!$A$2:$A$544,A153)</f>
        <v>0.57015387731305422</v>
      </c>
      <c r="N153" s="140">
        <f>SUMIFS('Sac Parça Detay'!$S$2:$S$544,'Sac Parça Detay'!$A$2:$A$544,A153)</f>
        <v>1.9751250474570801</v>
      </c>
      <c r="O153" s="140">
        <f t="shared" si="14"/>
        <v>9.8756252372853996</v>
      </c>
      <c r="P153" s="135">
        <v>0</v>
      </c>
      <c r="Q153" s="135" t="s">
        <v>1521</v>
      </c>
      <c r="R153" s="135" t="s">
        <v>130</v>
      </c>
      <c r="S153" s="135" t="s">
        <v>1520</v>
      </c>
    </row>
    <row r="154" spans="1:19" ht="15" customHeight="1" x14ac:dyDescent="0.25">
      <c r="A154" s="135" t="s">
        <v>553</v>
      </c>
      <c r="B154" s="135" t="s">
        <v>259</v>
      </c>
      <c r="C154" s="135" t="s">
        <v>117</v>
      </c>
      <c r="D154" s="136">
        <v>5</v>
      </c>
      <c r="E154" s="135">
        <f>COUNTIFS('Sac Parça Detay'!$A$2:$A$544,A154)</f>
        <v>2</v>
      </c>
      <c r="F154" s="135">
        <f>SUMIFS('Sac Parça Detay'!$G$2:$G$544,'Sac Parça Detay'!$A$2:$A$544,A154)</f>
        <v>3</v>
      </c>
      <c r="G154" s="137">
        <f>SUMPRODUCT(('Sac Parça Detay'!$A$2:$A$544=A154)*'Sac Parça Detay'!$K$2:$K$544*'Sac Parça Detay'!$G$2:$G$544)</f>
        <v>8.8725999999999999E-2</v>
      </c>
      <c r="H154" s="137">
        <f>SUMPRODUCT(('Sac Parça Detay'!$A$2:$A$544=A154)*'Sac Parça Detay'!$M$2:$M$544*'Sac Parça Detay'!$G$2:$G$544)</f>
        <v>0.11245373891001266</v>
      </c>
      <c r="I154" s="137">
        <f t="shared" si="12"/>
        <v>2.3727738910012661E-2</v>
      </c>
      <c r="J154" s="138">
        <f t="shared" si="13"/>
        <v>0.21099999999999991</v>
      </c>
      <c r="K154" s="139">
        <f>SUMIFS('Sac Parça Detay'!$T$2:$T$544,'Sac Parça Detay'!$A$2:$A$544,A154)</f>
        <v>2.1319971999999998</v>
      </c>
      <c r="L154" s="139">
        <f>SUMIFS('Sac Parça Detay'!$V$2:$V$544,'Sac Parça Detay'!$A$2:$A$544,A154)</f>
        <v>2.7021510773130544</v>
      </c>
      <c r="M154" s="139">
        <f>SUMIFS('Sac Parça Detay'!$U$2:$U$544,'Sac Parça Detay'!$A$2:$A$544,A154)</f>
        <v>0.57015387731305422</v>
      </c>
      <c r="N154" s="140">
        <f>SUMIFS('Sac Parça Detay'!$S$2:$S$544,'Sac Parça Detay'!$A$2:$A$544,A154)</f>
        <v>1.9751250474570801</v>
      </c>
      <c r="O154" s="140">
        <f t="shared" si="14"/>
        <v>9.8756252372853996</v>
      </c>
      <c r="P154" s="135">
        <v>0</v>
      </c>
      <c r="Q154" s="135" t="s">
        <v>1521</v>
      </c>
      <c r="R154" s="135" t="s">
        <v>130</v>
      </c>
      <c r="S154" s="135" t="s">
        <v>1520</v>
      </c>
    </row>
    <row r="155" spans="1:19" ht="15" customHeight="1" x14ac:dyDescent="0.25">
      <c r="A155" s="135" t="s">
        <v>503</v>
      </c>
      <c r="B155" s="135" t="s">
        <v>195</v>
      </c>
      <c r="C155" s="135" t="s">
        <v>107</v>
      </c>
      <c r="D155" s="136">
        <v>45</v>
      </c>
      <c r="E155" s="135">
        <f>COUNTIFS('Sac Parça Detay'!$A$2:$A$544,A155)</f>
        <v>2</v>
      </c>
      <c r="F155" s="135">
        <f>SUMIFS('Sac Parça Detay'!$G$2:$G$544,'Sac Parça Detay'!$A$2:$A$544,A155)</f>
        <v>2</v>
      </c>
      <c r="G155" s="137">
        <f>SUMPRODUCT(('Sac Parça Detay'!$A$2:$A$544=A155)*'Sac Parça Detay'!$K$2:$K$544*'Sac Parça Detay'!$G$2:$G$544)</f>
        <v>4.5372000000000003E-2</v>
      </c>
      <c r="H155" s="137">
        <f>SUMPRODUCT(('Sac Parça Detay'!$A$2:$A$544=A155)*'Sac Parça Detay'!$M$2:$M$544*'Sac Parça Detay'!$G$2:$G$544)</f>
        <v>5.7186254598287425E-2</v>
      </c>
      <c r="I155" s="137">
        <f t="shared" si="12"/>
        <v>1.1814254598287423E-2</v>
      </c>
      <c r="J155" s="138">
        <f t="shared" si="13"/>
        <v>0.20659255762207634</v>
      </c>
      <c r="K155" s="139">
        <f>SUMIFS('Sac Parça Detay'!$T$2:$T$544,'Sac Parça Detay'!$A$2:$A$544,A155)</f>
        <v>2.1370212</v>
      </c>
      <c r="L155" s="139">
        <f>SUMIFS('Sac Parça Detay'!$V$2:$V$544,'Sac Parça Detay'!$A$2:$A$544,A155)</f>
        <v>2.6934725915793374</v>
      </c>
      <c r="M155" s="139">
        <f>SUMIFS('Sac Parça Detay'!$U$2:$U$544,'Sac Parça Detay'!$A$2:$A$544,A155)</f>
        <v>0.55645139157933765</v>
      </c>
      <c r="N155" s="140">
        <f>SUMIFS('Sac Parça Detay'!$S$2:$S$544,'Sac Parça Detay'!$A$2:$A$544,A155)</f>
        <v>1.9726667087465959</v>
      </c>
      <c r="O155" s="140">
        <f t="shared" si="14"/>
        <v>88.770001893596813</v>
      </c>
      <c r="P155" s="135">
        <v>0</v>
      </c>
      <c r="Q155" s="135" t="s">
        <v>1521</v>
      </c>
      <c r="R155" s="135" t="s">
        <v>130</v>
      </c>
      <c r="S155" s="135" t="s">
        <v>1520</v>
      </c>
    </row>
    <row r="156" spans="1:19" ht="15" customHeight="1" x14ac:dyDescent="0.25">
      <c r="A156" s="135" t="s">
        <v>533</v>
      </c>
      <c r="B156" s="135" t="s">
        <v>229</v>
      </c>
      <c r="C156" s="135" t="s">
        <v>107</v>
      </c>
      <c r="D156" s="136">
        <v>10</v>
      </c>
      <c r="E156" s="135">
        <f>COUNTIFS('Sac Parça Detay'!$A$2:$A$544,A156)</f>
        <v>3</v>
      </c>
      <c r="F156" s="135">
        <f>SUMIFS('Sac Parça Detay'!$G$2:$G$544,'Sac Parça Detay'!$A$2:$A$544,A156)</f>
        <v>4</v>
      </c>
      <c r="G156" s="137">
        <f>SUMPRODUCT(('Sac Parça Detay'!$A$2:$A$544=A156)*'Sac Parça Detay'!$K$2:$K$544*'Sac Parça Detay'!$G$2:$G$544)</f>
        <v>4.1697999999999999E-2</v>
      </c>
      <c r="H156" s="137">
        <f>SUMPRODUCT(('Sac Parça Detay'!$A$2:$A$544=A156)*'Sac Parça Detay'!$M$2:$M$544*'Sac Parça Detay'!$G$2:$G$544)</f>
        <v>5.2564369841417047E-2</v>
      </c>
      <c r="I156" s="137">
        <f t="shared" si="12"/>
        <v>1.0866369841417048E-2</v>
      </c>
      <c r="J156" s="138">
        <f t="shared" si="13"/>
        <v>0.20672500924485751</v>
      </c>
      <c r="K156" s="139">
        <f>SUMIFS('Sac Parça Detay'!$T$2:$T$544,'Sac Parça Detay'!$A$2:$A$544,A156)</f>
        <v>1.9639758</v>
      </c>
      <c r="L156" s="139">
        <f>SUMIFS('Sac Parça Detay'!$V$2:$V$544,'Sac Parça Detay'!$A$2:$A$544,A156)</f>
        <v>2.4757818195307424</v>
      </c>
      <c r="M156" s="139">
        <f>SUMIFS('Sac Parça Detay'!$U$2:$U$544,'Sac Parça Detay'!$A$2:$A$544,A156)</f>
        <v>0.51180601953074278</v>
      </c>
      <c r="N156" s="140">
        <f>SUMIFS('Sac Parça Detay'!$S$2:$S$544,'Sac Parça Detay'!$A$2:$A$544,A156)</f>
        <v>1.8131253037781692</v>
      </c>
      <c r="O156" s="140">
        <f t="shared" si="14"/>
        <v>18.13125303778169</v>
      </c>
      <c r="P156" s="135">
        <v>0</v>
      </c>
      <c r="Q156" s="135" t="s">
        <v>1521</v>
      </c>
      <c r="R156" s="135" t="s">
        <v>130</v>
      </c>
      <c r="S156" s="135" t="s">
        <v>1520</v>
      </c>
    </row>
    <row r="157" spans="1:19" ht="15" customHeight="1" x14ac:dyDescent="0.25">
      <c r="A157" s="135" t="s">
        <v>514</v>
      </c>
      <c r="B157" s="135" t="s">
        <v>208</v>
      </c>
      <c r="C157" s="135" t="s">
        <v>93</v>
      </c>
      <c r="D157" s="136">
        <v>16</v>
      </c>
      <c r="E157" s="135">
        <f>COUNTIFS('Sac Parça Detay'!$A$2:$A$544,A157)</f>
        <v>2</v>
      </c>
      <c r="F157" s="135">
        <f>SUMIFS('Sac Parça Detay'!$G$2:$G$544,'Sac Parça Detay'!$A$2:$A$544,A157)</f>
        <v>3</v>
      </c>
      <c r="G157" s="137">
        <f>SUMPRODUCT(('Sac Parça Detay'!$A$2:$A$544=A157)*'Sac Parça Detay'!$K$2:$K$544*'Sac Parça Detay'!$G$2:$G$544)</f>
        <v>4.1592000000000004E-2</v>
      </c>
      <c r="H157" s="137">
        <f>SUMPRODUCT(('Sac Parça Detay'!$A$2:$A$544=A157)*'Sac Parça Detay'!$M$2:$M$544*'Sac Parça Detay'!$G$2:$G$544)</f>
        <v>5.2714828897338403E-2</v>
      </c>
      <c r="I157" s="137">
        <f t="shared" si="12"/>
        <v>1.1122828897338399E-2</v>
      </c>
      <c r="J157" s="138">
        <f t="shared" si="13"/>
        <v>0.21099999999999994</v>
      </c>
      <c r="K157" s="139">
        <f>SUMIFS('Sac Parça Detay'!$T$2:$T$544,'Sac Parça Detay'!$A$2:$A$544,A157)</f>
        <v>1.9589832</v>
      </c>
      <c r="L157" s="139">
        <f>SUMIFS('Sac Parça Detay'!$V$2:$V$544,'Sac Parça Detay'!$A$2:$A$544,A157)</f>
        <v>2.4828684410646389</v>
      </c>
      <c r="M157" s="139">
        <f>SUMIFS('Sac Parça Detay'!$U$2:$U$544,'Sac Parça Detay'!$A$2:$A$544,A157)</f>
        <v>0.52388524106463885</v>
      </c>
      <c r="N157" s="140">
        <f>SUMIFS('Sac Parça Detay'!$S$2:$S$544,'Sac Parça Detay'!$A$2:$A$544,A157)</f>
        <v>1.8148414012305565</v>
      </c>
      <c r="O157" s="140">
        <f t="shared" si="14"/>
        <v>29.037462419688904</v>
      </c>
      <c r="P157" s="135">
        <v>0</v>
      </c>
      <c r="Q157" s="135" t="s">
        <v>1521</v>
      </c>
      <c r="R157" s="135" t="s">
        <v>130</v>
      </c>
      <c r="S157" s="135" t="s">
        <v>1520</v>
      </c>
    </row>
    <row r="158" spans="1:19" ht="15" customHeight="1" x14ac:dyDescent="0.25">
      <c r="A158" s="135" t="s">
        <v>558</v>
      </c>
      <c r="B158" s="135" t="s">
        <v>266</v>
      </c>
      <c r="C158" s="135" t="s">
        <v>93</v>
      </c>
      <c r="D158" s="136">
        <v>5</v>
      </c>
      <c r="E158" s="135">
        <f>COUNTIFS('Sac Parça Detay'!$A$2:$A$544,A158)</f>
        <v>2</v>
      </c>
      <c r="F158" s="135">
        <f>SUMIFS('Sac Parça Detay'!$G$2:$G$544,'Sac Parça Detay'!$A$2:$A$544,A158)</f>
        <v>2</v>
      </c>
      <c r="G158" s="137">
        <f>SUMPRODUCT(('Sac Parça Detay'!$A$2:$A$544=A158)*'Sac Parça Detay'!$K$2:$K$544*'Sac Parça Detay'!$G$2:$G$544)</f>
        <v>1.6802999999999998E-2</v>
      </c>
      <c r="H158" s="137">
        <f>SUMPRODUCT(('Sac Parça Detay'!$A$2:$A$544=A158)*'Sac Parça Detay'!$M$2:$M$544*'Sac Parça Detay'!$G$2:$G$544)</f>
        <v>2.1046318278772139E-2</v>
      </c>
      <c r="I158" s="137">
        <f t="shared" si="12"/>
        <v>4.2433182787721402E-3</v>
      </c>
      <c r="J158" s="138">
        <f t="shared" si="13"/>
        <v>0.20161807982596466</v>
      </c>
      <c r="K158" s="139">
        <f>SUMIFS('Sac Parça Detay'!$T$2:$T$544,'Sac Parça Detay'!$A$2:$A$544,A158)</f>
        <v>1.3190355</v>
      </c>
      <c r="L158" s="139">
        <f>SUMIFS('Sac Parça Detay'!$V$2:$V$544,'Sac Parça Detay'!$A$2:$A$544,A158)</f>
        <v>1.6521359848836132</v>
      </c>
      <c r="M158" s="139">
        <f>SUMIFS('Sac Parça Detay'!$U$2:$U$544,'Sac Parça Detay'!$A$2:$A$544,A158)</f>
        <v>0.33310048488361299</v>
      </c>
      <c r="N158" s="140">
        <f>SUMIFS('Sac Parça Detay'!$S$2:$S$544,'Sac Parça Detay'!$A$2:$A$544,A158)</f>
        <v>1.2126940837631626</v>
      </c>
      <c r="O158" s="140">
        <f t="shared" si="14"/>
        <v>6.0634704188158128</v>
      </c>
      <c r="P158" s="135">
        <v>1</v>
      </c>
      <c r="Q158" s="135" t="s">
        <v>1521</v>
      </c>
      <c r="R158" s="135" t="s">
        <v>130</v>
      </c>
      <c r="S158" s="135" t="s">
        <v>1520</v>
      </c>
    </row>
    <row r="159" spans="1:19" ht="15" customHeight="1" x14ac:dyDescent="0.25">
      <c r="A159" s="135" t="s">
        <v>515</v>
      </c>
      <c r="B159" s="135" t="s">
        <v>209</v>
      </c>
      <c r="C159" s="135" t="s">
        <v>139</v>
      </c>
      <c r="D159" s="136">
        <v>16</v>
      </c>
      <c r="E159" s="135">
        <f>COUNTIFS('Sac Parça Detay'!$A$2:$A$544,A159)</f>
        <v>2</v>
      </c>
      <c r="F159" s="135">
        <f>SUMIFS('Sac Parça Detay'!$G$2:$G$544,'Sac Parça Detay'!$A$2:$A$544,A159)</f>
        <v>3</v>
      </c>
      <c r="G159" s="137">
        <f>SUMPRODUCT(('Sac Parça Detay'!$A$2:$A$544=A159)*'Sac Parça Detay'!$K$2:$K$544*'Sac Parça Detay'!$G$2:$G$544)</f>
        <v>3.8896E-2</v>
      </c>
      <c r="H159" s="137">
        <f>SUMPRODUCT(('Sac Parça Detay'!$A$2:$A$544=A159)*'Sac Parça Detay'!$M$2:$M$544*'Sac Parça Detay'!$G$2:$G$544)</f>
        <v>4.9297845373890994E-2</v>
      </c>
      <c r="I159" s="137">
        <f t="shared" si="12"/>
        <v>1.0401845373890994E-2</v>
      </c>
      <c r="J159" s="138">
        <f t="shared" si="13"/>
        <v>0.21099999999999988</v>
      </c>
      <c r="K159" s="139">
        <f>SUMIFS('Sac Parça Detay'!$T$2:$T$544,'Sac Parça Detay'!$A$2:$A$544,A159)</f>
        <v>1.8320015999999999</v>
      </c>
      <c r="L159" s="139">
        <f>SUMIFS('Sac Parça Detay'!$V$2:$V$544,'Sac Parça Detay'!$A$2:$A$544,A159)</f>
        <v>2.3219285171102659</v>
      </c>
      <c r="M159" s="139">
        <f>SUMIFS('Sac Parça Detay'!$U$2:$U$544,'Sac Parça Detay'!$A$2:$A$544,A159)</f>
        <v>0.48992691711026587</v>
      </c>
      <c r="N159" s="140">
        <f>SUMIFS('Sac Parça Detay'!$S$2:$S$544,'Sac Parça Detay'!$A$2:$A$544,A159)</f>
        <v>1.6972030953612167</v>
      </c>
      <c r="O159" s="140">
        <f t="shared" si="14"/>
        <v>27.155249525779467</v>
      </c>
      <c r="P159" s="135">
        <v>0</v>
      </c>
      <c r="Q159" s="135" t="s">
        <v>1521</v>
      </c>
      <c r="R159" s="135" t="s">
        <v>130</v>
      </c>
      <c r="S159" s="135" t="s">
        <v>1520</v>
      </c>
    </row>
    <row r="160" spans="1:19" ht="15" customHeight="1" x14ac:dyDescent="0.25">
      <c r="A160" s="135" t="s">
        <v>475</v>
      </c>
      <c r="B160" s="135" t="s">
        <v>155</v>
      </c>
      <c r="C160" s="135" t="s">
        <v>156</v>
      </c>
      <c r="D160" s="136">
        <v>106</v>
      </c>
      <c r="E160" s="135">
        <f>COUNTIFS('Sac Parça Detay'!$A$2:$A$544,A160)</f>
        <v>2</v>
      </c>
      <c r="F160" s="135">
        <f>SUMIFS('Sac Parça Detay'!$G$2:$G$544,'Sac Parça Detay'!$A$2:$A$544,A160)</f>
        <v>3</v>
      </c>
      <c r="G160" s="137">
        <f>SUMPRODUCT(('Sac Parça Detay'!$A$2:$A$544=A160)*'Sac Parça Detay'!$K$2:$K$544*'Sac Parça Detay'!$G$2:$G$544)</f>
        <v>2.0457000000000003E-2</v>
      </c>
      <c r="H160" s="137">
        <f>SUMPRODUCT(('Sac Parça Detay'!$A$2:$A$544=A160)*'Sac Parça Detay'!$M$2:$M$544*'Sac Parça Detay'!$G$2:$G$544)</f>
        <v>2.4947560975609753E-2</v>
      </c>
      <c r="I160" s="137">
        <f t="shared" si="12"/>
        <v>4.4905609756097503E-3</v>
      </c>
      <c r="J160" s="138">
        <f t="shared" si="13"/>
        <v>0.1799999999999998</v>
      </c>
      <c r="K160" s="139">
        <f>SUMIFS('Sac Parça Detay'!$T$2:$T$544,'Sac Parça Detay'!$A$2:$A$544,A160)</f>
        <v>1.7630471999999999</v>
      </c>
      <c r="L160" s="139">
        <f>SUMIFS('Sac Parça Detay'!$V$2:$V$544,'Sac Parça Detay'!$A$2:$A$544,A160)</f>
        <v>2.1500575609756098</v>
      </c>
      <c r="M160" s="139">
        <f>SUMIFS('Sac Parça Detay'!$U$2:$U$544,'Sac Parça Detay'!$A$2:$A$544,A160)</f>
        <v>0.38701036097560954</v>
      </c>
      <c r="N160" s="140">
        <f>SUMIFS('Sac Parça Detay'!$S$2:$S$544,'Sac Parça Detay'!$A$2:$A$544,A160)</f>
        <v>1.5933881124611973</v>
      </c>
      <c r="O160" s="140">
        <f t="shared" si="14"/>
        <v>168.89913992088691</v>
      </c>
      <c r="P160" s="135">
        <v>0</v>
      </c>
      <c r="Q160" s="135" t="s">
        <v>1521</v>
      </c>
      <c r="R160" s="135" t="s">
        <v>130</v>
      </c>
      <c r="S160" s="135" t="s">
        <v>1520</v>
      </c>
    </row>
    <row r="161" spans="1:19" ht="15" customHeight="1" x14ac:dyDescent="0.25">
      <c r="A161" s="135" t="s">
        <v>546</v>
      </c>
      <c r="B161" s="135" t="s">
        <v>248</v>
      </c>
      <c r="C161" s="135" t="s">
        <v>107</v>
      </c>
      <c r="D161" s="136">
        <v>10</v>
      </c>
      <c r="E161" s="135">
        <f>COUNTIFS('Sac Parça Detay'!$A$2:$A$544,A161)</f>
        <v>2</v>
      </c>
      <c r="F161" s="135">
        <f>SUMIFS('Sac Parça Detay'!$G$2:$G$544,'Sac Parça Detay'!$A$2:$A$544,A161)</f>
        <v>3</v>
      </c>
      <c r="G161" s="137">
        <f>SUMPRODUCT(('Sac Parça Detay'!$A$2:$A$544=A161)*'Sac Parça Detay'!$K$2:$K$544*'Sac Parça Detay'!$G$2:$G$544)</f>
        <v>3.6753000000000001E-2</v>
      </c>
      <c r="H161" s="137">
        <f>SUMPRODUCT(('Sac Parça Detay'!$A$2:$A$544=A161)*'Sac Parça Detay'!$M$2:$M$544*'Sac Parça Detay'!$G$2:$G$544)</f>
        <v>4.6172747225571117E-2</v>
      </c>
      <c r="I161" s="137">
        <f t="shared" si="12"/>
        <v>9.4197472255711165E-3</v>
      </c>
      <c r="J161" s="138">
        <f t="shared" si="13"/>
        <v>0.20401097598876092</v>
      </c>
      <c r="K161" s="139">
        <f>SUMIFS('Sac Parça Detay'!$T$2:$T$544,'Sac Parça Detay'!$A$2:$A$544,A161)</f>
        <v>1.7310662999999999</v>
      </c>
      <c r="L161" s="139">
        <f>SUMIFS('Sac Parça Detay'!$V$2:$V$544,'Sac Parça Detay'!$A$2:$A$544,A161)</f>
        <v>2.1747363943243996</v>
      </c>
      <c r="M161" s="139">
        <f>SUMIFS('Sac Parça Detay'!$U$2:$U$544,'Sac Parça Detay'!$A$2:$A$544,A161)</f>
        <v>0.44367009432439952</v>
      </c>
      <c r="N161" s="140">
        <f>SUMIFS('Sac Parça Detay'!$S$2:$S$544,'Sac Parça Detay'!$A$2:$A$544,A161)</f>
        <v>1.5945879936806251</v>
      </c>
      <c r="O161" s="140">
        <f t="shared" si="14"/>
        <v>15.94587993680625</v>
      </c>
      <c r="P161" s="135">
        <v>0</v>
      </c>
      <c r="Q161" s="135" t="s">
        <v>1521</v>
      </c>
      <c r="R161" s="135" t="s">
        <v>130</v>
      </c>
      <c r="S161" s="135" t="s">
        <v>1520</v>
      </c>
    </row>
    <row r="162" spans="1:19" ht="15" customHeight="1" x14ac:dyDescent="0.25">
      <c r="A162" s="135" t="s">
        <v>520</v>
      </c>
      <c r="B162" s="135" t="s">
        <v>214</v>
      </c>
      <c r="C162" s="135" t="s">
        <v>117</v>
      </c>
      <c r="D162" s="136">
        <v>20</v>
      </c>
      <c r="E162" s="135">
        <f>COUNTIFS('Sac Parça Detay'!$A$2:$A$544,A162)</f>
        <v>2</v>
      </c>
      <c r="F162" s="135">
        <f>SUMIFS('Sac Parça Detay'!$G$2:$G$544,'Sac Parça Detay'!$A$2:$A$544,A162)</f>
        <v>3</v>
      </c>
      <c r="G162" s="137">
        <f>SUMPRODUCT(('Sac Parça Detay'!$A$2:$A$544=A162)*'Sac Parça Detay'!$K$2:$K$544*'Sac Parça Detay'!$G$2:$G$544)</f>
        <v>3.7005999999999997E-2</v>
      </c>
      <c r="H162" s="137">
        <f>SUMPRODUCT(('Sac Parça Detay'!$A$2:$A$544=A162)*'Sac Parça Detay'!$M$2:$M$544*'Sac Parça Detay'!$G$2:$G$544)</f>
        <v>4.6344965841293391E-2</v>
      </c>
      <c r="I162" s="137">
        <f t="shared" si="12"/>
        <v>9.3389658412933937E-3</v>
      </c>
      <c r="J162" s="138">
        <f t="shared" si="13"/>
        <v>0.20150982251825009</v>
      </c>
      <c r="K162" s="139">
        <f>SUMIFS('Sac Parça Detay'!$T$2:$T$544,'Sac Parça Detay'!$A$2:$A$544,A162)</f>
        <v>1.7429825999999999</v>
      </c>
      <c r="L162" s="139">
        <f>SUMIFS('Sac Parça Detay'!$V$2:$V$544,'Sac Parça Detay'!$A$2:$A$544,A162)</f>
        <v>2.1828478911249185</v>
      </c>
      <c r="M162" s="139">
        <f>SUMIFS('Sac Parça Detay'!$U$2:$U$544,'Sac Parça Detay'!$A$2:$A$544,A162)</f>
        <v>0.43986529112491884</v>
      </c>
      <c r="N162" s="140">
        <f>SUMIFS('Sac Parça Detay'!$S$2:$S$544,'Sac Parça Detay'!$A$2:$A$544,A162)</f>
        <v>1.6023223994408706</v>
      </c>
      <c r="O162" s="140">
        <f t="shared" si="14"/>
        <v>32.046447988817413</v>
      </c>
      <c r="P162" s="135">
        <v>0</v>
      </c>
      <c r="Q162" s="135" t="s">
        <v>1521</v>
      </c>
      <c r="R162" s="135" t="s">
        <v>130</v>
      </c>
      <c r="S162" s="135" t="s">
        <v>1520</v>
      </c>
    </row>
    <row r="163" spans="1:19" ht="15" customHeight="1" x14ac:dyDescent="0.25">
      <c r="A163" s="135" t="s">
        <v>624</v>
      </c>
      <c r="B163" s="135" t="s">
        <v>339</v>
      </c>
      <c r="C163" s="135" t="s">
        <v>99</v>
      </c>
      <c r="D163" s="136">
        <v>5</v>
      </c>
      <c r="E163" s="135">
        <f>COUNTIFS('Sac Parça Detay'!$A$2:$A$544,A163)</f>
        <v>2</v>
      </c>
      <c r="F163" s="135">
        <f>SUMIFS('Sac Parça Detay'!$G$2:$G$544,'Sac Parça Detay'!$A$2:$A$544,A163)</f>
        <v>3</v>
      </c>
      <c r="G163" s="137">
        <f>SUMPRODUCT(('Sac Parça Detay'!$A$2:$A$544=A163)*'Sac Parça Detay'!$K$2:$K$544*'Sac Parça Detay'!$G$2:$G$544)</f>
        <v>2.7303000000000001E-2</v>
      </c>
      <c r="H163" s="137">
        <f>SUMPRODUCT(('Sac Parça Detay'!$A$2:$A$544=A163)*'Sac Parça Detay'!$M$2:$M$544*'Sac Parça Detay'!$G$2:$G$544)</f>
        <v>3.0315999999999999E-2</v>
      </c>
      <c r="I163" s="137">
        <f t="shared" si="12"/>
        <v>3.0129999999999983E-3</v>
      </c>
      <c r="J163" s="138">
        <f t="shared" si="13"/>
        <v>9.9386462594009711E-2</v>
      </c>
      <c r="K163" s="139">
        <f>SUMIFS('Sac Parça Detay'!$T$2:$T$544,'Sac Parça Detay'!$A$2:$A$544,A163)</f>
        <v>1.7146283999999998</v>
      </c>
      <c r="L163" s="139">
        <f>SUMIFS('Sac Parça Detay'!$V$2:$V$544,'Sac Parça Detay'!$A$2:$A$544,A163)</f>
        <v>1.9038447999999999</v>
      </c>
      <c r="M163" s="139">
        <f>SUMIFS('Sac Parça Detay'!$U$2:$U$544,'Sac Parça Detay'!$A$2:$A$544,A163)</f>
        <v>0.18921639999999995</v>
      </c>
      <c r="N163" s="140">
        <f>SUMIFS('Sac Parça Detay'!$S$2:$S$544,'Sac Parça Detay'!$A$2:$A$544,A163)</f>
        <v>1.4611504727272728</v>
      </c>
      <c r="O163" s="140">
        <f t="shared" si="14"/>
        <v>7.3057523636363637</v>
      </c>
      <c r="P163" s="135">
        <v>0</v>
      </c>
      <c r="Q163" s="135" t="s">
        <v>1526</v>
      </c>
      <c r="R163" s="135" t="s">
        <v>130</v>
      </c>
      <c r="S163" s="135" t="s">
        <v>1520</v>
      </c>
    </row>
    <row r="164" spans="1:19" ht="15" customHeight="1" x14ac:dyDescent="0.25">
      <c r="A164" s="135" t="s">
        <v>504</v>
      </c>
      <c r="B164" s="135" t="s">
        <v>196</v>
      </c>
      <c r="C164" s="135" t="s">
        <v>107</v>
      </c>
      <c r="D164" s="136">
        <v>7</v>
      </c>
      <c r="E164" s="135">
        <f>COUNTIFS('Sac Parça Detay'!$A$2:$A$544,A164)</f>
        <v>3</v>
      </c>
      <c r="F164" s="135">
        <f>SUMIFS('Sac Parça Detay'!$G$2:$G$544,'Sac Parça Detay'!$A$2:$A$544,A164)</f>
        <v>10</v>
      </c>
      <c r="G164" s="137">
        <f>SUMPRODUCT(('Sac Parça Detay'!$A$2:$A$544=A164)*'Sac Parça Detay'!$K$2:$K$544*'Sac Parça Detay'!$G$2:$G$544)</f>
        <v>6.9426000000000002E-2</v>
      </c>
      <c r="H164" s="137">
        <f>SUMPRODUCT(('Sac Parça Detay'!$A$2:$A$544=A164)*'Sac Parça Detay'!$M$2:$M$544*'Sac Parça Detay'!$G$2:$G$544)</f>
        <v>8.7308745247148281E-2</v>
      </c>
      <c r="I164" s="137">
        <f t="shared" si="12"/>
        <v>1.788274524714828E-2</v>
      </c>
      <c r="J164" s="138">
        <f t="shared" si="13"/>
        <v>0.20482192472846669</v>
      </c>
      <c r="K164" s="139">
        <f>SUMIFS('Sac Parça Detay'!$T$2:$T$544,'Sac Parça Detay'!$A$2:$A$544,A164)</f>
        <v>1.6349822999999999</v>
      </c>
      <c r="L164" s="139">
        <f>SUMIFS('Sac Parça Detay'!$V$2:$V$544,'Sac Parça Detay'!$A$2:$A$544,A164)</f>
        <v>2.0561209505703419</v>
      </c>
      <c r="M164" s="139">
        <f>SUMIFS('Sac Parça Detay'!$U$2:$U$544,'Sac Parça Detay'!$A$2:$A$544,A164)</f>
        <v>0.42113865057034205</v>
      </c>
      <c r="N164" s="140">
        <f>SUMIFS('Sac Parça Detay'!$S$2:$S$544,'Sac Parça Detay'!$A$2:$A$544,A164)</f>
        <v>1.5070695657241617</v>
      </c>
      <c r="O164" s="140">
        <f t="shared" si="14"/>
        <v>10.549486960069132</v>
      </c>
      <c r="P164" s="135">
        <v>0</v>
      </c>
      <c r="Q164" s="135" t="s">
        <v>1521</v>
      </c>
      <c r="R164" s="135" t="s">
        <v>130</v>
      </c>
      <c r="S164" s="135" t="s">
        <v>1520</v>
      </c>
    </row>
    <row r="165" spans="1:19" ht="15" customHeight="1" x14ac:dyDescent="0.25">
      <c r="A165" s="135" t="s">
        <v>582</v>
      </c>
      <c r="B165" s="135" t="s">
        <v>303</v>
      </c>
      <c r="C165" s="135" t="s">
        <v>107</v>
      </c>
      <c r="D165" s="136">
        <v>2</v>
      </c>
      <c r="E165" s="135">
        <f>COUNTIFS('Sac Parça Detay'!$A$2:$A$544,A165)</f>
        <v>2</v>
      </c>
      <c r="F165" s="135">
        <f>SUMIFS('Sac Parça Detay'!$G$2:$G$544,'Sac Parça Detay'!$A$2:$A$544,A165)</f>
        <v>2</v>
      </c>
      <c r="G165" s="137">
        <f>SUMPRODUCT(('Sac Parça Detay'!$A$2:$A$544=A165)*'Sac Parça Detay'!$K$2:$K$544*'Sac Parça Detay'!$G$2:$G$544)</f>
        <v>4.2279999999999998E-2</v>
      </c>
      <c r="H165" s="137">
        <f>SUMPRODUCT(('Sac Parça Detay'!$A$2:$A$544=A165)*'Sac Parça Detay'!$M$2:$M$544*'Sac Parça Detay'!$G$2:$G$544)</f>
        <v>5.3180931404371072E-2</v>
      </c>
      <c r="I165" s="137">
        <f t="shared" ref="I165:I196" si="15">H165-G165</f>
        <v>1.0900931404371074E-2</v>
      </c>
      <c r="J165" s="138">
        <f t="shared" ref="J165:J196" si="16">IF(H165=0,0,I165/H165)</f>
        <v>0.20497819644195062</v>
      </c>
      <c r="K165" s="139">
        <f>SUMIFS('Sac Parça Detay'!$T$2:$T$544,'Sac Parça Detay'!$A$2:$A$544,A165)</f>
        <v>1.59299265</v>
      </c>
      <c r="L165" s="139">
        <f>SUMIFS('Sac Parça Detay'!$V$2:$V$544,'Sac Parça Detay'!$A$2:$A$544,A165)</f>
        <v>2.006257228353272</v>
      </c>
      <c r="M165" s="139">
        <f>SUMIFS('Sac Parça Detay'!$U$2:$U$544,'Sac Parça Detay'!$A$2:$A$544,A165)</f>
        <v>0.41326457835327202</v>
      </c>
      <c r="N165" s="140">
        <f>SUMIFS('Sac Parça Detay'!$S$2:$S$544,'Sac Parça Detay'!$A$2:$A$544,A165)</f>
        <v>1.4697555570397287</v>
      </c>
      <c r="O165" s="140">
        <f t="shared" ref="O165:O196" si="17">N165*D165</f>
        <v>2.9395111140794574</v>
      </c>
      <c r="P165" s="135">
        <v>0</v>
      </c>
      <c r="Q165" s="135" t="s">
        <v>1521</v>
      </c>
      <c r="R165" s="135" t="s">
        <v>130</v>
      </c>
      <c r="S165" s="135" t="s">
        <v>1520</v>
      </c>
    </row>
    <row r="166" spans="1:19" ht="15" customHeight="1" x14ac:dyDescent="0.25">
      <c r="A166" s="135" t="s">
        <v>532</v>
      </c>
      <c r="B166" s="135" t="s">
        <v>228</v>
      </c>
      <c r="C166" s="135" t="s">
        <v>119</v>
      </c>
      <c r="D166" s="136">
        <v>16</v>
      </c>
      <c r="E166" s="135">
        <f>COUNTIFS('Sac Parça Detay'!$A$2:$A$544,A166)</f>
        <v>2</v>
      </c>
      <c r="F166" s="135">
        <f>SUMIFS('Sac Parça Detay'!$G$2:$G$544,'Sac Parça Detay'!$A$2:$A$544,A166)</f>
        <v>2</v>
      </c>
      <c r="G166" s="137">
        <f>SUMPRODUCT(('Sac Parça Detay'!$A$2:$A$544=A166)*'Sac Parça Detay'!$K$2:$K$544*'Sac Parça Detay'!$G$2:$G$544)</f>
        <v>3.9213999999999999E-2</v>
      </c>
      <c r="H166" s="137">
        <f>SUMPRODUCT(('Sac Parça Detay'!$A$2:$A$544=A166)*'Sac Parça Detay'!$M$2:$M$544*'Sac Parça Detay'!$G$2:$G$544)</f>
        <v>4.9506592166682122E-2</v>
      </c>
      <c r="I166" s="137">
        <f t="shared" si="15"/>
        <v>1.0292592166682123E-2</v>
      </c>
      <c r="J166" s="138">
        <f t="shared" si="16"/>
        <v>0.20790346732064149</v>
      </c>
      <c r="K166" s="139">
        <f>SUMIFS('Sac Parça Detay'!$T$2:$T$544,'Sac Parça Detay'!$A$2:$A$544,A166)</f>
        <v>1.57098125</v>
      </c>
      <c r="L166" s="139">
        <f>SUMIFS('Sac Parça Detay'!$V$2:$V$544,'Sac Parça Detay'!$A$2:$A$544,A166)</f>
        <v>1.9819529498593462</v>
      </c>
      <c r="M166" s="139">
        <f>SUMIFS('Sac Parça Detay'!$U$2:$U$544,'Sac Parça Detay'!$A$2:$A$544,A166)</f>
        <v>0.4109716998593464</v>
      </c>
      <c r="N166" s="140">
        <f>SUMIFS('Sac Parça Detay'!$S$2:$S$544,'Sac Parça Detay'!$A$2:$A$544,A166)</f>
        <v>1.4510625308426002</v>
      </c>
      <c r="O166" s="140">
        <f t="shared" si="17"/>
        <v>23.217000493481603</v>
      </c>
      <c r="P166" s="135">
        <v>0</v>
      </c>
      <c r="Q166" s="135" t="s">
        <v>1521</v>
      </c>
      <c r="R166" s="135" t="s">
        <v>130</v>
      </c>
      <c r="S166" s="135" t="s">
        <v>1520</v>
      </c>
    </row>
    <row r="167" spans="1:19" ht="15" customHeight="1" x14ac:dyDescent="0.25">
      <c r="A167" s="135" t="s">
        <v>535</v>
      </c>
      <c r="B167" s="135" t="s">
        <v>231</v>
      </c>
      <c r="C167" s="135" t="s">
        <v>156</v>
      </c>
      <c r="D167" s="136">
        <v>10</v>
      </c>
      <c r="E167" s="135">
        <f>COUNTIFS('Sac Parça Detay'!$A$2:$A$544,A167)</f>
        <v>2</v>
      </c>
      <c r="F167" s="135">
        <f>SUMIFS('Sac Parça Detay'!$G$2:$G$544,'Sac Parça Detay'!$A$2:$A$544,A167)</f>
        <v>4</v>
      </c>
      <c r="G167" s="137">
        <f>SUMPRODUCT(('Sac Parça Detay'!$A$2:$A$544=A167)*'Sac Parça Detay'!$K$2:$K$544*'Sac Parça Detay'!$G$2:$G$544)</f>
        <v>2.2506000000000002E-2</v>
      </c>
      <c r="H167" s="137">
        <f>SUMPRODUCT(('Sac Parça Detay'!$A$2:$A$544=A167)*'Sac Parça Detay'!$M$2:$M$544*'Sac Parça Detay'!$G$2:$G$544)</f>
        <v>2.7446341463414636E-2</v>
      </c>
      <c r="I167" s="137">
        <f t="shared" si="15"/>
        <v>4.9403414634146339E-3</v>
      </c>
      <c r="J167" s="138">
        <f t="shared" si="16"/>
        <v>0.18</v>
      </c>
      <c r="K167" s="139">
        <f>SUMIFS('Sac Parça Detay'!$T$2:$T$544,'Sac Parça Detay'!$A$2:$A$544,A167)</f>
        <v>1.0600326</v>
      </c>
      <c r="L167" s="139">
        <f>SUMIFS('Sac Parça Detay'!$V$2:$V$544,'Sac Parça Detay'!$A$2:$A$544,A167)</f>
        <v>1.2927226829268292</v>
      </c>
      <c r="M167" s="139">
        <f>SUMIFS('Sac Parça Detay'!$U$2:$U$544,'Sac Parça Detay'!$A$2:$A$544,A167)</f>
        <v>0.23269008292682924</v>
      </c>
      <c r="N167" s="140">
        <f>SUMIFS('Sac Parça Detay'!$S$2:$S$544,'Sac Parça Detay'!$A$2:$A$544,A167)</f>
        <v>0.95802502829268299</v>
      </c>
      <c r="O167" s="140">
        <f t="shared" si="17"/>
        <v>9.5802502829268299</v>
      </c>
      <c r="P167" s="135">
        <v>1</v>
      </c>
      <c r="Q167" s="135" t="s">
        <v>1521</v>
      </c>
      <c r="R167" s="135" t="s">
        <v>130</v>
      </c>
      <c r="S167" s="135" t="s">
        <v>1520</v>
      </c>
    </row>
    <row r="168" spans="1:19" ht="15" customHeight="1" x14ac:dyDescent="0.25">
      <c r="A168" s="135" t="s">
        <v>604</v>
      </c>
      <c r="B168" s="135" t="s">
        <v>330</v>
      </c>
      <c r="C168" s="135" t="s">
        <v>139</v>
      </c>
      <c r="D168" s="136">
        <v>16</v>
      </c>
      <c r="E168" s="135">
        <f>COUNTIFS('Sac Parça Detay'!$A$2:$A$544,A168)</f>
        <v>3</v>
      </c>
      <c r="F168" s="135">
        <f>SUMIFS('Sac Parça Detay'!$G$2:$G$544,'Sac Parça Detay'!$A$2:$A$544,A168)</f>
        <v>3</v>
      </c>
      <c r="G168" s="137">
        <f>SUMPRODUCT(('Sac Parça Detay'!$A$2:$A$544=A168)*'Sac Parça Detay'!$K$2:$K$544*'Sac Parça Detay'!$G$2:$G$544)</f>
        <v>4.0127999999999997E-2</v>
      </c>
      <c r="H168" s="137">
        <f>SUMPRODUCT(('Sac Parça Detay'!$A$2:$A$544=A168)*'Sac Parça Detay'!$M$2:$M$544*'Sac Parça Detay'!$G$2:$G$544)</f>
        <v>5.0351465269405538E-2</v>
      </c>
      <c r="I168" s="137">
        <f t="shared" si="15"/>
        <v>1.0223465269405541E-2</v>
      </c>
      <c r="J168" s="138">
        <f t="shared" si="16"/>
        <v>0.2030420607365622</v>
      </c>
      <c r="K168" s="139">
        <f>SUMIFS('Sac Parça Detay'!$T$2:$T$544,'Sac Parça Detay'!$A$2:$A$544,A168)</f>
        <v>1.575024</v>
      </c>
      <c r="L168" s="139">
        <f>SUMIFS('Sac Parça Detay'!$V$2:$V$544,'Sac Parça Detay'!$A$2:$A$544,A168)</f>
        <v>1.9762950118241676</v>
      </c>
      <c r="M168" s="139">
        <f>SUMIFS('Sac Parça Detay'!$U$2:$U$544,'Sac Parça Detay'!$A$2:$A$544,A168)</f>
        <v>0.40127101182416741</v>
      </c>
      <c r="N168" s="140">
        <f>SUMIFS('Sac Parça Detay'!$S$2:$S$544,'Sac Parça Detay'!$A$2:$A$544,A168)</f>
        <v>1.4497109510441522</v>
      </c>
      <c r="O168" s="140">
        <f t="shared" si="17"/>
        <v>23.195375216706434</v>
      </c>
      <c r="P168" s="135">
        <v>0</v>
      </c>
      <c r="Q168" s="135" t="s">
        <v>1521</v>
      </c>
      <c r="R168" s="135" t="s">
        <v>130</v>
      </c>
      <c r="S168" s="135" t="s">
        <v>1520</v>
      </c>
    </row>
    <row r="169" spans="1:19" ht="15" customHeight="1" x14ac:dyDescent="0.25">
      <c r="A169" s="135" t="s">
        <v>557</v>
      </c>
      <c r="B169" s="135" t="s">
        <v>264</v>
      </c>
      <c r="C169" s="135" t="s">
        <v>107</v>
      </c>
      <c r="D169" s="136">
        <v>5</v>
      </c>
      <c r="E169" s="135">
        <f>COUNTIFS('Sac Parça Detay'!$A$2:$A$544,A169)</f>
        <v>3</v>
      </c>
      <c r="F169" s="135">
        <f>SUMIFS('Sac Parça Detay'!$G$2:$G$544,'Sac Parça Detay'!$A$2:$A$544,A169)</f>
        <v>4</v>
      </c>
      <c r="G169" s="137">
        <f>SUMPRODUCT(('Sac Parça Detay'!$A$2:$A$544=A169)*'Sac Parça Detay'!$K$2:$K$544*'Sac Parça Detay'!$G$2:$G$544)</f>
        <v>2.1848000000000003E-2</v>
      </c>
      <c r="H169" s="137">
        <f>SUMPRODUCT(('Sac Parça Detay'!$A$2:$A$544=A169)*'Sac Parça Detay'!$M$2:$M$544*'Sac Parça Detay'!$G$2:$G$544)</f>
        <v>2.664390243902439E-2</v>
      </c>
      <c r="I169" s="137">
        <f t="shared" si="15"/>
        <v>4.7959024390243875E-3</v>
      </c>
      <c r="J169" s="138">
        <f t="shared" si="16"/>
        <v>0.17999999999999988</v>
      </c>
      <c r="K169" s="139">
        <f>SUMIFS('Sac Parça Detay'!$T$2:$T$544,'Sac Parça Detay'!$A$2:$A$544,A169)</f>
        <v>1.0290408</v>
      </c>
      <c r="L169" s="139">
        <f>SUMIFS('Sac Parça Detay'!$V$2:$V$544,'Sac Parça Detay'!$A$2:$A$544,A169)</f>
        <v>1.2549278048780488</v>
      </c>
      <c r="M169" s="139">
        <f>SUMIFS('Sac Parça Detay'!$U$2:$U$544,'Sac Parça Detay'!$A$2:$A$544,A169)</f>
        <v>0.22588700487804869</v>
      </c>
      <c r="N169" s="140">
        <f>SUMIFS('Sac Parça Detay'!$S$2:$S$544,'Sac Parça Detay'!$A$2:$A$544,A169)</f>
        <v>0.93001558776053206</v>
      </c>
      <c r="O169" s="140">
        <f t="shared" si="17"/>
        <v>4.6500779388026601</v>
      </c>
      <c r="P169" s="135">
        <v>1</v>
      </c>
      <c r="Q169" s="135" t="s">
        <v>1521</v>
      </c>
      <c r="R169" s="135" t="s">
        <v>130</v>
      </c>
      <c r="S169" s="135" t="s">
        <v>1520</v>
      </c>
    </row>
    <row r="170" spans="1:19" ht="15" customHeight="1" x14ac:dyDescent="0.25">
      <c r="A170" s="135" t="s">
        <v>547</v>
      </c>
      <c r="B170" s="135" t="s">
        <v>249</v>
      </c>
      <c r="C170" s="135" t="s">
        <v>194</v>
      </c>
      <c r="D170" s="136">
        <v>10</v>
      </c>
      <c r="E170" s="135">
        <f>COUNTIFS('Sac Parça Detay'!$A$2:$A$544,A170)</f>
        <v>2</v>
      </c>
      <c r="F170" s="135">
        <f>SUMIFS('Sac Parça Detay'!$G$2:$G$544,'Sac Parça Detay'!$A$2:$A$544,A170)</f>
        <v>3</v>
      </c>
      <c r="G170" s="137">
        <f>SUMPRODUCT(('Sac Parça Detay'!$A$2:$A$544=A170)*'Sac Parça Detay'!$K$2:$K$544*'Sac Parça Detay'!$G$2:$G$544)</f>
        <v>3.0275E-2</v>
      </c>
      <c r="H170" s="137">
        <f>SUMPRODUCT(('Sac Parça Detay'!$A$2:$A$544=A170)*'Sac Parça Detay'!$M$2:$M$544*'Sac Parça Detay'!$G$2:$G$544)</f>
        <v>3.7964462579987014E-2</v>
      </c>
      <c r="I170" s="137">
        <f t="shared" si="15"/>
        <v>7.6894625799870144E-3</v>
      </c>
      <c r="J170" s="138">
        <f t="shared" si="16"/>
        <v>0.20254369632616684</v>
      </c>
      <c r="K170" s="139">
        <f>SUMIFS('Sac Parça Detay'!$T$2:$T$544,'Sac Parça Detay'!$A$2:$A$544,A170)</f>
        <v>1.4259525</v>
      </c>
      <c r="L170" s="139">
        <f>SUMIFS('Sac Parça Detay'!$V$2:$V$544,'Sac Parça Detay'!$A$2:$A$544,A170)</f>
        <v>1.7881261875173884</v>
      </c>
      <c r="M170" s="139">
        <f>SUMIFS('Sac Parça Detay'!$U$2:$U$544,'Sac Parça Detay'!$A$2:$A$544,A170)</f>
        <v>0.36217368751738838</v>
      </c>
      <c r="N170" s="140">
        <f>SUMIFS('Sac Parça Detay'!$S$2:$S$544,'Sac Parça Detay'!$A$2:$A$544,A170)</f>
        <v>1.3119713795536745</v>
      </c>
      <c r="O170" s="140">
        <f t="shared" si="17"/>
        <v>13.119713795536745</v>
      </c>
      <c r="P170" s="135">
        <v>0</v>
      </c>
      <c r="Q170" s="135" t="s">
        <v>1521</v>
      </c>
      <c r="R170" s="135" t="s">
        <v>130</v>
      </c>
      <c r="S170" s="135" t="s">
        <v>1520</v>
      </c>
    </row>
    <row r="171" spans="1:19" ht="15" customHeight="1" x14ac:dyDescent="0.25">
      <c r="A171" s="135" t="s">
        <v>502</v>
      </c>
      <c r="B171" s="135" t="s">
        <v>193</v>
      </c>
      <c r="C171" s="135" t="s">
        <v>194</v>
      </c>
      <c r="D171" s="136">
        <v>40</v>
      </c>
      <c r="E171" s="135">
        <f>COUNTIFS('Sac Parça Detay'!$A$2:$A$544,A171)</f>
        <v>2</v>
      </c>
      <c r="F171" s="135">
        <f>SUMIFS('Sac Parça Detay'!$G$2:$G$544,'Sac Parça Detay'!$A$2:$A$544,A171)</f>
        <v>3</v>
      </c>
      <c r="G171" s="137">
        <f>SUMPRODUCT(('Sac Parça Detay'!$A$2:$A$544=A171)*'Sac Parça Detay'!$K$2:$K$544*'Sac Parça Detay'!$G$2:$G$544)</f>
        <v>2.9385000000000001E-2</v>
      </c>
      <c r="H171" s="137">
        <f>SUMPRODUCT(('Sac Parça Detay'!$A$2:$A$544=A171)*'Sac Parça Detay'!$M$2:$M$544*'Sac Parça Detay'!$G$2:$G$544)</f>
        <v>3.6850635259204303E-2</v>
      </c>
      <c r="I171" s="137">
        <f t="shared" si="15"/>
        <v>7.4656352592043021E-3</v>
      </c>
      <c r="J171" s="138">
        <f t="shared" si="16"/>
        <v>0.20259176556093658</v>
      </c>
      <c r="K171" s="139">
        <f>SUMIFS('Sac Parça Detay'!$T$2:$T$544,'Sac Parça Detay'!$A$2:$A$544,A171)</f>
        <v>1.3840334999999999</v>
      </c>
      <c r="L171" s="139">
        <f>SUMIFS('Sac Parça Detay'!$V$2:$V$544,'Sac Parça Detay'!$A$2:$A$544,A171)</f>
        <v>1.7356649207085224</v>
      </c>
      <c r="M171" s="139">
        <f>SUMIFS('Sac Parça Detay'!$U$2:$U$544,'Sac Parça Detay'!$A$2:$A$544,A171)</f>
        <v>0.35163142070852255</v>
      </c>
      <c r="N171" s="140">
        <f>SUMIFS('Sac Parça Detay'!$S$2:$S$544,'Sac Parça Detay'!$A$2:$A$544,A171)</f>
        <v>1.2734525625167561</v>
      </c>
      <c r="O171" s="140">
        <f t="shared" si="17"/>
        <v>50.93810250067024</v>
      </c>
      <c r="P171" s="135">
        <v>0</v>
      </c>
      <c r="Q171" s="135" t="s">
        <v>1521</v>
      </c>
      <c r="R171" s="135" t="s">
        <v>130</v>
      </c>
      <c r="S171" s="135" t="s">
        <v>1520</v>
      </c>
    </row>
    <row r="172" spans="1:19" ht="15" customHeight="1" x14ac:dyDescent="0.25">
      <c r="A172" s="135" t="s">
        <v>519</v>
      </c>
      <c r="B172" s="135" t="s">
        <v>213</v>
      </c>
      <c r="C172" s="135" t="s">
        <v>139</v>
      </c>
      <c r="D172" s="136">
        <v>20</v>
      </c>
      <c r="E172" s="135">
        <f>COUNTIFS('Sac Parça Detay'!$A$2:$A$544,A172)</f>
        <v>2</v>
      </c>
      <c r="F172" s="135">
        <f>SUMIFS('Sac Parça Detay'!$G$2:$G$544,'Sac Parça Detay'!$A$2:$A$544,A172)</f>
        <v>3</v>
      </c>
      <c r="G172" s="137">
        <f>SUMPRODUCT(('Sac Parça Detay'!$A$2:$A$544=A172)*'Sac Parça Detay'!$K$2:$K$544*'Sac Parça Detay'!$G$2:$G$544)</f>
        <v>3.4969E-2</v>
      </c>
      <c r="H172" s="137">
        <f>SUMPRODUCT(('Sac Parça Detay'!$A$2:$A$544=A172)*'Sac Parça Detay'!$M$2:$M$544*'Sac Parça Detay'!$G$2:$G$544)</f>
        <v>4.3927948313703669E-2</v>
      </c>
      <c r="I172" s="137">
        <f t="shared" si="15"/>
        <v>8.9589483137036685E-3</v>
      </c>
      <c r="J172" s="138">
        <f t="shared" si="16"/>
        <v>0.20394643177334221</v>
      </c>
      <c r="K172" s="139">
        <f>SUMIFS('Sac Parça Detay'!$T$2:$T$544,'Sac Parça Detay'!$A$2:$A$544,A172)</f>
        <v>1.6470398999999998</v>
      </c>
      <c r="L172" s="139">
        <f>SUMIFS('Sac Parça Detay'!$V$2:$V$544,'Sac Parça Detay'!$A$2:$A$544,A172)</f>
        <v>2.0690063655754427</v>
      </c>
      <c r="M172" s="139">
        <f>SUMIFS('Sac Parça Detay'!$U$2:$U$544,'Sac Parça Detay'!$A$2:$A$544,A172)</f>
        <v>0.42196646557544287</v>
      </c>
      <c r="N172" s="140">
        <f>SUMIFS('Sac Parça Detay'!$S$2:$S$544,'Sac Parça Detay'!$A$2:$A$544,A172)</f>
        <v>1.5171069764538458</v>
      </c>
      <c r="O172" s="140">
        <f t="shared" si="17"/>
        <v>30.342139529076917</v>
      </c>
      <c r="P172" s="135">
        <v>0</v>
      </c>
      <c r="Q172" s="135" t="s">
        <v>1521</v>
      </c>
      <c r="R172" s="135" t="s">
        <v>130</v>
      </c>
      <c r="S172" s="135" t="s">
        <v>1520</v>
      </c>
    </row>
    <row r="173" spans="1:19" ht="15" customHeight="1" x14ac:dyDescent="0.25">
      <c r="A173" s="135" t="s">
        <v>611</v>
      </c>
      <c r="B173" s="135" t="s">
        <v>341</v>
      </c>
      <c r="C173" s="135" t="s">
        <v>139</v>
      </c>
      <c r="D173" s="136">
        <v>14</v>
      </c>
      <c r="E173" s="135">
        <f>COUNTIFS('Sac Parça Detay'!$A$2:$A$544,A173)</f>
        <v>2</v>
      </c>
      <c r="F173" s="135">
        <f>SUMIFS('Sac Parça Detay'!$G$2:$G$544,'Sac Parça Detay'!$A$2:$A$544,A173)</f>
        <v>3</v>
      </c>
      <c r="G173" s="137">
        <f>SUMPRODUCT(('Sac Parça Detay'!$A$2:$A$544=A173)*'Sac Parça Detay'!$K$2:$K$544*'Sac Parça Detay'!$G$2:$G$544)</f>
        <v>3.4598000000000004E-2</v>
      </c>
      <c r="H173" s="137">
        <f>SUMPRODUCT(('Sac Parça Detay'!$A$2:$A$544=A173)*'Sac Parça Detay'!$M$2:$M$544*'Sac Parça Detay'!$G$2:$G$544)</f>
        <v>4.3598986058301648E-2</v>
      </c>
      <c r="I173" s="137">
        <f t="shared" si="15"/>
        <v>9.0009860583016438E-3</v>
      </c>
      <c r="J173" s="138">
        <f t="shared" si="16"/>
        <v>0.20644943545855177</v>
      </c>
      <c r="K173" s="139">
        <f>SUMIFS('Sac Parça Detay'!$T$2:$T$544,'Sac Parça Detay'!$A$2:$A$544,A173)</f>
        <v>1.3579714999999999</v>
      </c>
      <c r="L173" s="139">
        <f>SUMIFS('Sac Parça Detay'!$V$2:$V$544,'Sac Parça Detay'!$A$2:$A$544,A173)</f>
        <v>1.7112602027883392</v>
      </c>
      <c r="M173" s="139">
        <f>SUMIFS('Sac Parça Detay'!$U$2:$U$544,'Sac Parça Detay'!$A$2:$A$544,A173)</f>
        <v>0.35328870278833946</v>
      </c>
      <c r="N173" s="140">
        <f>SUMIFS('Sac Parça Detay'!$S$2:$S$544,'Sac Parça Detay'!$A$2:$A$544,A173)</f>
        <v>1.2533864049544881</v>
      </c>
      <c r="O173" s="140">
        <f t="shared" si="17"/>
        <v>17.547409669362832</v>
      </c>
      <c r="P173" s="135">
        <v>0</v>
      </c>
      <c r="Q173" s="135" t="s">
        <v>1521</v>
      </c>
      <c r="R173" s="135" t="s">
        <v>130</v>
      </c>
      <c r="S173" s="135" t="s">
        <v>1520</v>
      </c>
    </row>
    <row r="174" spans="1:19" ht="15" customHeight="1" x14ac:dyDescent="0.25">
      <c r="A174" s="135" t="s">
        <v>474</v>
      </c>
      <c r="B174" s="135" t="s">
        <v>154</v>
      </c>
      <c r="C174" s="135" t="s">
        <v>119</v>
      </c>
      <c r="D174" s="136">
        <v>114</v>
      </c>
      <c r="E174" s="135">
        <f>COUNTIFS('Sac Parça Detay'!$A$2:$A$544,A174)</f>
        <v>2</v>
      </c>
      <c r="F174" s="135">
        <f>SUMIFS('Sac Parça Detay'!$G$2:$G$544,'Sac Parça Detay'!$A$2:$A$544,A174)</f>
        <v>2</v>
      </c>
      <c r="G174" s="137">
        <f>SUMPRODUCT(('Sac Parça Detay'!$A$2:$A$544=A174)*'Sac Parça Detay'!$K$2:$K$544*'Sac Parça Detay'!$G$2:$G$544)</f>
        <v>1.2180999999999999E-2</v>
      </c>
      <c r="H174" s="137">
        <f>SUMPRODUCT(('Sac Parça Detay'!$A$2:$A$544=A174)*'Sac Parça Detay'!$M$2:$M$544*'Sac Parça Detay'!$G$2:$G$544)</f>
        <v>1.5297420322111965E-2</v>
      </c>
      <c r="I174" s="137">
        <f t="shared" si="15"/>
        <v>3.1164203221119655E-3</v>
      </c>
      <c r="J174" s="138">
        <f t="shared" si="16"/>
        <v>0.20372195157684678</v>
      </c>
      <c r="K174" s="139">
        <f>SUMIFS('Sac Parça Detay'!$T$2:$T$544,'Sac Parça Detay'!$A$2:$A$544,A174)</f>
        <v>1.3029822499999999</v>
      </c>
      <c r="L174" s="139">
        <f>SUMIFS('Sac Parça Detay'!$V$2:$V$544,'Sac Parça Detay'!$A$2:$A$544,A174)</f>
        <v>1.6237423123589598</v>
      </c>
      <c r="M174" s="139">
        <f>SUMIFS('Sac Parça Detay'!$U$2:$U$544,'Sac Parça Detay'!$A$2:$A$544,A174)</f>
        <v>0.32076006235895993</v>
      </c>
      <c r="N174" s="140">
        <f>SUMIFS('Sac Parça Detay'!$S$2:$S$544,'Sac Parça Detay'!$A$2:$A$544,A174)</f>
        <v>1.1940178294787809</v>
      </c>
      <c r="O174" s="140">
        <f t="shared" si="17"/>
        <v>136.11803256058101</v>
      </c>
      <c r="P174" s="135">
        <v>0</v>
      </c>
      <c r="Q174" s="135" t="s">
        <v>1521</v>
      </c>
      <c r="R174" s="135" t="s">
        <v>130</v>
      </c>
      <c r="S174" s="135" t="s">
        <v>1520</v>
      </c>
    </row>
    <row r="175" spans="1:19" ht="15" customHeight="1" x14ac:dyDescent="0.25">
      <c r="A175" s="135" t="s">
        <v>534</v>
      </c>
      <c r="B175" s="135" t="s">
        <v>230</v>
      </c>
      <c r="C175" s="135" t="s">
        <v>194</v>
      </c>
      <c r="D175" s="136">
        <v>16</v>
      </c>
      <c r="E175" s="135">
        <f>COUNTIFS('Sac Parça Detay'!$A$2:$A$544,A175)</f>
        <v>3</v>
      </c>
      <c r="F175" s="135">
        <f>SUMIFS('Sac Parça Detay'!$G$2:$G$544,'Sac Parça Detay'!$A$2:$A$544,A175)</f>
        <v>3</v>
      </c>
      <c r="G175" s="137">
        <f>SUMPRODUCT(('Sac Parça Detay'!$A$2:$A$544=A175)*'Sac Parça Detay'!$K$2:$K$544*'Sac Parça Detay'!$G$2:$G$544)</f>
        <v>3.1924000000000001E-2</v>
      </c>
      <c r="H175" s="137">
        <f>SUMPRODUCT(('Sac Parça Detay'!$A$2:$A$544=A175)*'Sac Parça Detay'!$M$2:$M$544*'Sac Parça Detay'!$G$2:$G$544)</f>
        <v>3.995349315280225E-2</v>
      </c>
      <c r="I175" s="137">
        <f t="shared" si="15"/>
        <v>8.0294931528022487E-3</v>
      </c>
      <c r="J175" s="138">
        <f t="shared" si="16"/>
        <v>0.20097099200045987</v>
      </c>
      <c r="K175" s="139">
        <f>SUMIFS('Sac Parça Detay'!$T$2:$T$544,'Sac Parça Detay'!$A$2:$A$544,A175)</f>
        <v>1.2530169999999998</v>
      </c>
      <c r="L175" s="139">
        <f>SUMIFS('Sac Parça Detay'!$V$2:$V$544,'Sac Parça Detay'!$A$2:$A$544,A175)</f>
        <v>1.5681746062474879</v>
      </c>
      <c r="M175" s="139">
        <f>SUMIFS('Sac Parça Detay'!$U$2:$U$544,'Sac Parça Detay'!$A$2:$A$544,A175)</f>
        <v>0.31515760624748823</v>
      </c>
      <c r="N175" s="140">
        <f>SUMIFS('Sac Parça Detay'!$S$2:$S$544,'Sac Parça Detay'!$A$2:$A$544,A175)</f>
        <v>1.151397195680631</v>
      </c>
      <c r="O175" s="140">
        <f t="shared" si="17"/>
        <v>18.422355130890097</v>
      </c>
      <c r="P175" s="135">
        <v>0</v>
      </c>
      <c r="Q175" s="135" t="s">
        <v>1521</v>
      </c>
      <c r="R175" s="135" t="s">
        <v>130</v>
      </c>
      <c r="S175" s="135" t="s">
        <v>1520</v>
      </c>
    </row>
    <row r="176" spans="1:19" ht="15" customHeight="1" x14ac:dyDescent="0.25">
      <c r="A176" s="135" t="s">
        <v>629</v>
      </c>
      <c r="B176" s="135" t="s">
        <v>363</v>
      </c>
      <c r="C176" s="135" t="s">
        <v>243</v>
      </c>
      <c r="D176" s="136">
        <v>4</v>
      </c>
      <c r="E176" s="135">
        <f>COUNTIFS('Sac Parça Detay'!$A$2:$A$544,A176)</f>
        <v>1</v>
      </c>
      <c r="F176" s="135">
        <f>SUMIFS('Sac Parça Detay'!$G$2:$G$544,'Sac Parça Detay'!$A$2:$A$544,A176)</f>
        <v>1</v>
      </c>
      <c r="G176" s="137">
        <f>SUMPRODUCT(('Sac Parça Detay'!$A$2:$A$544=A176)*'Sac Parça Detay'!$K$2:$K$544*'Sac Parça Detay'!$G$2:$G$544)</f>
        <v>8.5990000000000007E-3</v>
      </c>
      <c r="H176" s="137">
        <f>SUMPRODUCT(('Sac Parça Detay'!$A$2:$A$544=A176)*'Sac Parça Detay'!$M$2:$M$544*'Sac Parça Detay'!$G$2:$G$544)</f>
        <v>1.0486585365853658E-2</v>
      </c>
      <c r="I176" s="137">
        <f t="shared" si="15"/>
        <v>1.887585365853657E-3</v>
      </c>
      <c r="J176" s="138">
        <f t="shared" si="16"/>
        <v>0.17999999999999988</v>
      </c>
      <c r="K176" s="139">
        <f>SUMIFS('Sac Parça Detay'!$T$2:$T$544,'Sac Parça Detay'!$A$2:$A$544,A176)</f>
        <v>0.81002580000000002</v>
      </c>
      <c r="L176" s="139">
        <f>SUMIFS('Sac Parça Detay'!$V$2:$V$544,'Sac Parça Detay'!$A$2:$A$544,A176)</f>
        <v>0.98783634146341448</v>
      </c>
      <c r="M176" s="139">
        <f>SUMIFS('Sac Parça Detay'!$U$2:$U$544,'Sac Parça Detay'!$A$2:$A$544,A176)</f>
        <v>0.17781054146341449</v>
      </c>
      <c r="N176" s="140">
        <f>SUMIFS('Sac Parça Detay'!$S$2:$S$544,'Sac Parça Detay'!$A$2:$A$544,A176)</f>
        <v>0.73207653232815972</v>
      </c>
      <c r="O176" s="140">
        <f t="shared" si="17"/>
        <v>2.9283061293126389</v>
      </c>
      <c r="P176" s="135">
        <v>1</v>
      </c>
      <c r="Q176" s="135" t="s">
        <v>1521</v>
      </c>
      <c r="R176" s="135" t="s">
        <v>130</v>
      </c>
      <c r="S176" s="135" t="s">
        <v>1520</v>
      </c>
    </row>
    <row r="177" spans="1:19" ht="15" customHeight="1" x14ac:dyDescent="0.25">
      <c r="A177" s="135" t="s">
        <v>616</v>
      </c>
      <c r="B177" s="135" t="s">
        <v>349</v>
      </c>
      <c r="C177" s="135" t="s">
        <v>107</v>
      </c>
      <c r="D177" s="136">
        <v>15</v>
      </c>
      <c r="E177" s="135">
        <f>COUNTIFS('Sac Parça Detay'!$A$2:$A$544,A177)</f>
        <v>2</v>
      </c>
      <c r="F177" s="135">
        <f>SUMIFS('Sac Parça Detay'!$G$2:$G$544,'Sac Parça Detay'!$A$2:$A$544,A177)</f>
        <v>2</v>
      </c>
      <c r="G177" s="137">
        <f>SUMPRODUCT(('Sac Parça Detay'!$A$2:$A$544=A177)*'Sac Parça Detay'!$K$2:$K$544*'Sac Parça Detay'!$G$2:$G$544)</f>
        <v>1.8280999999999999E-2</v>
      </c>
      <c r="H177" s="137">
        <f>SUMPRODUCT(('Sac Parça Detay'!$A$2:$A$544=A177)*'Sac Parça Detay'!$M$2:$M$544*'Sac Parça Detay'!$G$2:$G$544)</f>
        <v>2.2293902439024391E-2</v>
      </c>
      <c r="I177" s="137">
        <f t="shared" si="15"/>
        <v>4.012902439024392E-3</v>
      </c>
      <c r="J177" s="138">
        <f t="shared" si="16"/>
        <v>0.18000000000000008</v>
      </c>
      <c r="K177" s="139">
        <f>SUMIFS('Sac Parça Detay'!$T$2:$T$544,'Sac Parça Detay'!$A$2:$A$544,A177)</f>
        <v>1.1480467999999999</v>
      </c>
      <c r="L177" s="139">
        <f>SUMIFS('Sac Parça Detay'!$V$2:$V$544,'Sac Parça Detay'!$A$2:$A$544,A177)</f>
        <v>1.4000570731707316</v>
      </c>
      <c r="M177" s="139">
        <f>SUMIFS('Sac Parça Detay'!$U$2:$U$544,'Sac Parça Detay'!$A$2:$A$544,A177)</f>
        <v>0.25201027317073166</v>
      </c>
      <c r="N177" s="140">
        <f>SUMIFS('Sac Parça Detay'!$S$2:$S$544,'Sac Parça Detay'!$A$2:$A$544,A177)</f>
        <v>1.0375695691352549</v>
      </c>
      <c r="O177" s="140">
        <f t="shared" si="17"/>
        <v>15.563543537028824</v>
      </c>
      <c r="P177" s="135">
        <v>0</v>
      </c>
      <c r="Q177" s="135" t="s">
        <v>1521</v>
      </c>
      <c r="R177" s="135" t="s">
        <v>130</v>
      </c>
      <c r="S177" s="135" t="s">
        <v>1520</v>
      </c>
    </row>
    <row r="178" spans="1:19" ht="15" customHeight="1" x14ac:dyDescent="0.25">
      <c r="A178" s="135" t="s">
        <v>449</v>
      </c>
      <c r="B178" s="135" t="s">
        <v>109</v>
      </c>
      <c r="C178" s="135" t="s">
        <v>110</v>
      </c>
      <c r="D178" s="136">
        <v>332</v>
      </c>
      <c r="E178" s="135">
        <f>COUNTIFS('Sac Parça Detay'!$A$2:$A$544,A178)</f>
        <v>2</v>
      </c>
      <c r="F178" s="135">
        <f>SUMIFS('Sac Parça Detay'!$G$2:$G$544,'Sac Parça Detay'!$A$2:$A$544,A178)</f>
        <v>3</v>
      </c>
      <c r="G178" s="137">
        <f>SUMPRODUCT(('Sac Parça Detay'!$A$2:$A$544=A178)*'Sac Parça Detay'!$K$2:$K$544*'Sac Parça Detay'!$G$2:$G$544)</f>
        <v>2.2526000000000001E-2</v>
      </c>
      <c r="H178" s="137">
        <f>SUMPRODUCT(('Sac Parça Detay'!$A$2:$A$544=A178)*'Sac Parça Detay'!$M$2:$M$544*'Sac Parça Detay'!$G$2:$G$544)</f>
        <v>2.8318155120714703E-2</v>
      </c>
      <c r="I178" s="137">
        <f t="shared" si="15"/>
        <v>5.7921551207147023E-3</v>
      </c>
      <c r="J178" s="138">
        <f t="shared" si="16"/>
        <v>0.2045385759073601</v>
      </c>
      <c r="K178" s="139">
        <f>SUMIFS('Sac Parça Detay'!$T$2:$T$544,'Sac Parça Detay'!$A$2:$A$544,A178)</f>
        <v>1.0609746</v>
      </c>
      <c r="L178" s="139">
        <f>SUMIFS('Sac Parça Detay'!$V$2:$V$544,'Sac Parça Detay'!$A$2:$A$544,A178)</f>
        <v>1.3337851061856625</v>
      </c>
      <c r="M178" s="139">
        <f>SUMIFS('Sac Parça Detay'!$U$2:$U$544,'Sac Parça Detay'!$A$2:$A$544,A178)</f>
        <v>0.27281050618566255</v>
      </c>
      <c r="N178" s="140">
        <f>SUMIFS('Sac Parça Detay'!$S$2:$S$544,'Sac Parça Detay'!$A$2:$A$544,A178)</f>
        <v>0.97774464656049498</v>
      </c>
      <c r="O178" s="140">
        <f t="shared" si="17"/>
        <v>324.61122265808433</v>
      </c>
      <c r="P178" s="135">
        <v>0</v>
      </c>
      <c r="Q178" s="135" t="s">
        <v>1521</v>
      </c>
      <c r="R178" s="135" t="s">
        <v>130</v>
      </c>
      <c r="S178" s="135" t="s">
        <v>1520</v>
      </c>
    </row>
    <row r="179" spans="1:19" ht="15" customHeight="1" x14ac:dyDescent="0.25">
      <c r="A179" s="135" t="s">
        <v>581</v>
      </c>
      <c r="B179" s="135" t="s">
        <v>301</v>
      </c>
      <c r="C179" s="135" t="s">
        <v>139</v>
      </c>
      <c r="D179" s="136">
        <v>2</v>
      </c>
      <c r="E179" s="135">
        <f>COUNTIFS('Sac Parça Detay'!$A$2:$A$544,A179)</f>
        <v>2</v>
      </c>
      <c r="F179" s="135">
        <f>SUMIFS('Sac Parça Detay'!$G$2:$G$544,'Sac Parça Detay'!$A$2:$A$544,A179)</f>
        <v>4</v>
      </c>
      <c r="G179" s="137">
        <f>SUMPRODUCT(('Sac Parça Detay'!$A$2:$A$544=A179)*'Sac Parça Detay'!$K$2:$K$544*'Sac Parça Detay'!$G$2:$G$544)</f>
        <v>2.2802000000000003E-2</v>
      </c>
      <c r="H179" s="137">
        <f>SUMPRODUCT(('Sac Parça Detay'!$A$2:$A$544=A179)*'Sac Parça Detay'!$M$2:$M$544*'Sac Parça Detay'!$G$2:$G$544)</f>
        <v>2.7807317073170731E-2</v>
      </c>
      <c r="I179" s="137">
        <f t="shared" si="15"/>
        <v>5.0053170731707286E-3</v>
      </c>
      <c r="J179" s="138">
        <f t="shared" si="16"/>
        <v>0.17999999999999988</v>
      </c>
      <c r="K179" s="139">
        <f>SUMIFS('Sac Parça Detay'!$T$2:$T$544,'Sac Parça Detay'!$A$2:$A$544,A179)</f>
        <v>0.71598280000000003</v>
      </c>
      <c r="L179" s="139">
        <f>SUMIFS('Sac Parça Detay'!$V$2:$V$544,'Sac Parça Detay'!$A$2:$A$544,A179)</f>
        <v>0.87314975609756085</v>
      </c>
      <c r="M179" s="139">
        <f>SUMIFS('Sac Parça Detay'!$U$2:$U$544,'Sac Parça Detay'!$A$2:$A$544,A179)</f>
        <v>0.1571669560975609</v>
      </c>
      <c r="N179" s="140">
        <f>SUMIFS('Sac Parça Detay'!$S$2:$S$544,'Sac Parça Detay'!$A$2:$A$544,A179)</f>
        <v>0.64708334651884714</v>
      </c>
      <c r="O179" s="140">
        <f t="shared" si="17"/>
        <v>1.2941666930376943</v>
      </c>
      <c r="P179" s="135">
        <v>1</v>
      </c>
      <c r="Q179" s="135" t="s">
        <v>1521</v>
      </c>
      <c r="R179" s="135" t="s">
        <v>130</v>
      </c>
      <c r="S179" s="135" t="s">
        <v>1520</v>
      </c>
    </row>
    <row r="180" spans="1:19" ht="15" customHeight="1" x14ac:dyDescent="0.25">
      <c r="A180" s="135" t="s">
        <v>466</v>
      </c>
      <c r="B180" s="135" t="s">
        <v>140</v>
      </c>
      <c r="C180" s="135" t="s">
        <v>99</v>
      </c>
      <c r="D180" s="136">
        <v>244</v>
      </c>
      <c r="E180" s="135">
        <f>COUNTIFS('Sac Parça Detay'!$A$2:$A$544,A180)</f>
        <v>2</v>
      </c>
      <c r="F180" s="135">
        <f>SUMIFS('Sac Parça Detay'!$G$2:$G$544,'Sac Parça Detay'!$A$2:$A$544,A180)</f>
        <v>2</v>
      </c>
      <c r="G180" s="137">
        <f>SUMPRODUCT(('Sac Parça Detay'!$A$2:$A$544=A180)*'Sac Parça Detay'!$K$2:$K$544*'Sac Parça Detay'!$G$2:$G$544)</f>
        <v>1.8280999999999999E-2</v>
      </c>
      <c r="H180" s="137">
        <f>SUMPRODUCT(('Sac Parça Detay'!$A$2:$A$544=A180)*'Sac Parça Detay'!$M$2:$M$544*'Sac Parça Detay'!$G$2:$G$544)</f>
        <v>2.2293902439024391E-2</v>
      </c>
      <c r="I180" s="137">
        <f t="shared" si="15"/>
        <v>4.012902439024392E-3</v>
      </c>
      <c r="J180" s="138">
        <f t="shared" si="16"/>
        <v>0.18000000000000008</v>
      </c>
      <c r="K180" s="139">
        <f>SUMIFS('Sac Parça Detay'!$T$2:$T$544,'Sac Parça Detay'!$A$2:$A$544,A180)</f>
        <v>1.1480467999999999</v>
      </c>
      <c r="L180" s="139">
        <f>SUMIFS('Sac Parça Detay'!$V$2:$V$544,'Sac Parça Detay'!$A$2:$A$544,A180)</f>
        <v>1.4000570731707316</v>
      </c>
      <c r="M180" s="139">
        <f>SUMIFS('Sac Parça Detay'!$U$2:$U$544,'Sac Parça Detay'!$A$2:$A$544,A180)</f>
        <v>0.25201027317073166</v>
      </c>
      <c r="N180" s="140">
        <f>SUMIFS('Sac Parça Detay'!$S$2:$S$544,'Sac Parça Detay'!$A$2:$A$544,A180)</f>
        <v>1.0375695691352549</v>
      </c>
      <c r="O180" s="140">
        <f t="shared" si="17"/>
        <v>253.16697486900219</v>
      </c>
      <c r="P180" s="135">
        <v>0</v>
      </c>
      <c r="Q180" s="135" t="s">
        <v>1521</v>
      </c>
      <c r="R180" s="135" t="s">
        <v>130</v>
      </c>
      <c r="S180" s="135" t="s">
        <v>1520</v>
      </c>
    </row>
    <row r="181" spans="1:19" ht="15" customHeight="1" x14ac:dyDescent="0.25">
      <c r="A181" s="135" t="s">
        <v>482</v>
      </c>
      <c r="B181" s="135" t="s">
        <v>163</v>
      </c>
      <c r="C181" s="135" t="s">
        <v>99</v>
      </c>
      <c r="D181" s="136">
        <v>108</v>
      </c>
      <c r="E181" s="135">
        <f>COUNTIFS('Sac Parça Detay'!$A$2:$A$544,A181)</f>
        <v>2</v>
      </c>
      <c r="F181" s="135">
        <f>SUMIFS('Sac Parça Detay'!$G$2:$G$544,'Sac Parça Detay'!$A$2:$A$544,A181)</f>
        <v>2</v>
      </c>
      <c r="G181" s="137">
        <f>SUMPRODUCT(('Sac Parça Detay'!$A$2:$A$544=A181)*'Sac Parça Detay'!$K$2:$K$544*'Sac Parça Detay'!$G$2:$G$544)</f>
        <v>1.6784E-2</v>
      </c>
      <c r="H181" s="137">
        <f>SUMPRODUCT(('Sac Parça Detay'!$A$2:$A$544=A181)*'Sac Parça Detay'!$M$2:$M$544*'Sac Parça Detay'!$G$2:$G$544)</f>
        <v>2.1099284367368389E-2</v>
      </c>
      <c r="I181" s="137">
        <f t="shared" si="15"/>
        <v>4.3152843673683883E-3</v>
      </c>
      <c r="J181" s="138">
        <f t="shared" si="16"/>
        <v>0.20452278343820496</v>
      </c>
      <c r="K181" s="139">
        <f>SUMIFS('Sac Parça Detay'!$T$2:$T$544,'Sac Parça Detay'!$A$2:$A$544,A181)</f>
        <v>1.0540351999999999</v>
      </c>
      <c r="L181" s="139">
        <f>SUMIFS('Sac Parça Detay'!$V$2:$V$544,'Sac Parça Detay'!$A$2:$A$544,A181)</f>
        <v>1.3250350582707346</v>
      </c>
      <c r="M181" s="139">
        <f>SUMIFS('Sac Parça Detay'!$U$2:$U$544,'Sac Parça Detay'!$A$2:$A$544,A181)</f>
        <v>0.27099985827073475</v>
      </c>
      <c r="N181" s="140">
        <f>SUMIFS('Sac Parça Detay'!$S$2:$S$544,'Sac Parça Detay'!$A$2:$A$544,A181)</f>
        <v>0.97133718390980195</v>
      </c>
      <c r="O181" s="140">
        <f t="shared" si="17"/>
        <v>104.90441586225862</v>
      </c>
      <c r="P181" s="135">
        <v>0</v>
      </c>
      <c r="Q181" s="135" t="s">
        <v>1521</v>
      </c>
      <c r="R181" s="135" t="s">
        <v>130</v>
      </c>
      <c r="S181" s="135" t="s">
        <v>1520</v>
      </c>
    </row>
    <row r="182" spans="1:19" ht="15" customHeight="1" x14ac:dyDescent="0.25">
      <c r="A182" s="135" t="s">
        <v>630</v>
      </c>
      <c r="B182" s="135" t="s">
        <v>365</v>
      </c>
      <c r="C182" s="135" t="s">
        <v>139</v>
      </c>
      <c r="D182" s="136">
        <v>1</v>
      </c>
      <c r="E182" s="135">
        <f>COUNTIFS('Sac Parça Detay'!$A$2:$A$544,A182)</f>
        <v>4</v>
      </c>
      <c r="F182" s="135">
        <f>SUMIFS('Sac Parça Detay'!$G$2:$G$544,'Sac Parça Detay'!$A$2:$A$544,A182)</f>
        <v>6</v>
      </c>
      <c r="G182" s="137">
        <f>SUMPRODUCT(('Sac Parça Detay'!$A$2:$A$544=A182)*'Sac Parça Detay'!$K$2:$K$544*'Sac Parça Detay'!$G$2:$G$544)</f>
        <v>2.445E-2</v>
      </c>
      <c r="H182" s="137">
        <f>SUMPRODUCT(('Sac Parça Detay'!$A$2:$A$544=A182)*'Sac Parça Detay'!$M$2:$M$544*'Sac Parça Detay'!$G$2:$G$544)</f>
        <v>3.0699666141148101E-2</v>
      </c>
      <c r="I182" s="137">
        <f t="shared" si="15"/>
        <v>6.2496661411481011E-3</v>
      </c>
      <c r="J182" s="138">
        <f t="shared" si="16"/>
        <v>0.20357440085549991</v>
      </c>
      <c r="K182" s="139">
        <f>SUMIFS('Sac Parça Detay'!$T$2:$T$544,'Sac Parça Detay'!$A$2:$A$544,A182)</f>
        <v>0.86499149999999991</v>
      </c>
      <c r="L182" s="139">
        <f>SUMIFS('Sac Parça Detay'!$V$2:$V$544,'Sac Parça Detay'!$A$2:$A$544,A182)</f>
        <v>1.0895094570156727</v>
      </c>
      <c r="M182" s="139">
        <f>SUMIFS('Sac Parça Detay'!$U$2:$U$544,'Sac Parça Detay'!$A$2:$A$544,A182)</f>
        <v>0.22451795701567273</v>
      </c>
      <c r="N182" s="140">
        <f>SUMIFS('Sac Parça Detay'!$S$2:$S$544,'Sac Parça Detay'!$A$2:$A$544,A182)</f>
        <v>0.79812896149831813</v>
      </c>
      <c r="O182" s="140">
        <f t="shared" si="17"/>
        <v>0.79812896149831813</v>
      </c>
      <c r="P182" s="135">
        <v>0</v>
      </c>
      <c r="Q182" s="135" t="s">
        <v>1521</v>
      </c>
      <c r="R182" s="135" t="s">
        <v>130</v>
      </c>
      <c r="S182" s="135" t="s">
        <v>1520</v>
      </c>
    </row>
    <row r="183" spans="1:19" ht="15" customHeight="1" x14ac:dyDescent="0.25">
      <c r="A183" s="135" t="s">
        <v>508</v>
      </c>
      <c r="B183" s="135" t="s">
        <v>200</v>
      </c>
      <c r="C183" s="135" t="s">
        <v>139</v>
      </c>
      <c r="D183" s="136">
        <v>56</v>
      </c>
      <c r="E183" s="135">
        <f>COUNTIFS('Sac Parça Detay'!$A$2:$A$544,A183)</f>
        <v>2</v>
      </c>
      <c r="F183" s="135">
        <f>SUMIFS('Sac Parça Detay'!$G$2:$G$544,'Sac Parça Detay'!$A$2:$A$544,A183)</f>
        <v>2</v>
      </c>
      <c r="G183" s="137">
        <f>SUMPRODUCT(('Sac Parça Detay'!$A$2:$A$544=A183)*'Sac Parça Detay'!$K$2:$K$544*'Sac Parça Detay'!$G$2:$G$544)</f>
        <v>8.8960000000000011E-3</v>
      </c>
      <c r="H183" s="137">
        <f>SUMPRODUCT(('Sac Parça Detay'!$A$2:$A$544=A183)*'Sac Parça Detay'!$M$2:$M$544*'Sac Parça Detay'!$G$2:$G$544)</f>
        <v>1.0848780487804877E-2</v>
      </c>
      <c r="I183" s="137">
        <f t="shared" si="15"/>
        <v>1.9527804878048758E-3</v>
      </c>
      <c r="J183" s="138">
        <f t="shared" si="16"/>
        <v>0.1799999999999998</v>
      </c>
      <c r="K183" s="139">
        <f>SUMIFS('Sac Parça Detay'!$T$2:$T$544,'Sac Parça Detay'!$A$2:$A$544,A183)</f>
        <v>0.38899889999999998</v>
      </c>
      <c r="L183" s="139">
        <f>SUMIFS('Sac Parça Detay'!$V$2:$V$544,'Sac Parça Detay'!$A$2:$A$544,A183)</f>
        <v>0.47438890243902432</v>
      </c>
      <c r="M183" s="139">
        <f>SUMIFS('Sac Parça Detay'!$U$2:$U$544,'Sac Parça Detay'!$A$2:$A$544,A183)</f>
        <v>8.5390002439024323E-2</v>
      </c>
      <c r="N183" s="140">
        <f>SUMIFS('Sac Parça Detay'!$S$2:$S$544,'Sac Parça Detay'!$A$2:$A$544,A183)</f>
        <v>0.35156530297117511</v>
      </c>
      <c r="O183" s="140">
        <f t="shared" si="17"/>
        <v>19.687656966385806</v>
      </c>
      <c r="P183" s="135">
        <v>1</v>
      </c>
      <c r="Q183" s="135" t="s">
        <v>1521</v>
      </c>
      <c r="R183" s="135" t="s">
        <v>130</v>
      </c>
      <c r="S183" s="135" t="s">
        <v>1520</v>
      </c>
    </row>
    <row r="184" spans="1:19" ht="15" customHeight="1" x14ac:dyDescent="0.25">
      <c r="A184" s="135" t="s">
        <v>500</v>
      </c>
      <c r="B184" s="135" t="s">
        <v>189</v>
      </c>
      <c r="C184" s="135" t="s">
        <v>190</v>
      </c>
      <c r="D184" s="136">
        <v>55</v>
      </c>
      <c r="E184" s="135">
        <f>COUNTIFS('Sac Parça Detay'!$A$2:$A$544,A184)</f>
        <v>1</v>
      </c>
      <c r="F184" s="135">
        <f>SUMIFS('Sac Parça Detay'!$G$2:$G$544,'Sac Parça Detay'!$A$2:$A$544,A184)</f>
        <v>1</v>
      </c>
      <c r="G184" s="137">
        <f>SUMPRODUCT(('Sac Parça Detay'!$A$2:$A$544=A184)*'Sac Parça Detay'!$K$2:$K$544*'Sac Parça Detay'!$G$2:$G$544)</f>
        <v>2.9299999999999999E-3</v>
      </c>
      <c r="H184" s="137">
        <f>SUMPRODUCT(('Sac Parça Detay'!$A$2:$A$544=A184)*'Sac Parça Detay'!$M$2:$M$544*'Sac Parça Detay'!$G$2:$G$544)</f>
        <v>3.7135614702154623E-3</v>
      </c>
      <c r="I184" s="137">
        <f t="shared" si="15"/>
        <v>7.8356147021546238E-4</v>
      </c>
      <c r="J184" s="138">
        <f t="shared" si="16"/>
        <v>0.21099999999999997</v>
      </c>
      <c r="K184" s="139">
        <f>SUMIFS('Sac Parça Detay'!$T$2:$T$544,'Sac Parça Detay'!$A$2:$A$544,A184)</f>
        <v>9.2001999999999987E-2</v>
      </c>
      <c r="L184" s="139">
        <f>SUMIFS('Sac Parça Detay'!$V$2:$V$544,'Sac Parça Detay'!$A$2:$A$544,A184)</f>
        <v>0.11660583016476551</v>
      </c>
      <c r="M184" s="139">
        <f>SUMIFS('Sac Parça Detay'!$U$2:$U$544,'Sac Parça Detay'!$A$2:$A$544,A184)</f>
        <v>2.4603830164765517E-2</v>
      </c>
      <c r="N184" s="140">
        <f>SUMIFS('Sac Parça Detay'!$S$2:$S$544,'Sac Parça Detay'!$A$2:$A$544,A184)</f>
        <v>8.5232501532434612E-2</v>
      </c>
      <c r="O184" s="140">
        <f t="shared" si="17"/>
        <v>4.6877875842839041</v>
      </c>
      <c r="P184" s="135">
        <v>1</v>
      </c>
      <c r="Q184" s="135" t="s">
        <v>1521</v>
      </c>
      <c r="R184" s="135" t="s">
        <v>130</v>
      </c>
      <c r="S184" s="135" t="s">
        <v>1520</v>
      </c>
    </row>
    <row r="185" spans="1:19" ht="15" customHeight="1" x14ac:dyDescent="0.25">
      <c r="A185" s="135" t="s">
        <v>590</v>
      </c>
      <c r="B185" s="135" t="s">
        <v>312</v>
      </c>
      <c r="C185" s="135" t="s">
        <v>117</v>
      </c>
      <c r="D185" s="136">
        <v>2</v>
      </c>
      <c r="E185" s="135">
        <f>COUNTIFS('Sac Parça Detay'!$A$2:$A$544,A185)</f>
        <v>1</v>
      </c>
      <c r="F185" s="135">
        <f>SUMIFS('Sac Parça Detay'!$G$2:$G$544,'Sac Parça Detay'!$A$2:$A$544,A185)</f>
        <v>1</v>
      </c>
      <c r="G185" s="137">
        <f>SUMPRODUCT(('Sac Parça Detay'!$A$2:$A$544=A185)*'Sac Parça Detay'!$K$2:$K$544*'Sac Parça Detay'!$G$2:$G$544)</f>
        <v>8.0099999999999998E-3</v>
      </c>
      <c r="H185" s="137">
        <f>SUMPRODUCT(('Sac Parça Detay'!$A$2:$A$544=A185)*'Sac Parça Detay'!$M$2:$M$544*'Sac Parça Detay'!$G$2:$G$544)</f>
        <v>8.3999999999999995E-3</v>
      </c>
      <c r="I185" s="137">
        <f t="shared" si="15"/>
        <v>3.8999999999999972E-4</v>
      </c>
      <c r="J185" s="138">
        <f t="shared" si="16"/>
        <v>4.6428571428571395E-2</v>
      </c>
      <c r="K185" s="139">
        <f>SUMIFS('Sac Parça Detay'!$T$2:$T$544,'Sac Parça Detay'!$A$2:$A$544,A185)</f>
        <v>0.62878500000000004</v>
      </c>
      <c r="L185" s="139">
        <f>SUMIFS('Sac Parça Detay'!$V$2:$V$544,'Sac Parça Detay'!$A$2:$A$544,A185)</f>
        <v>0.65939999999999988</v>
      </c>
      <c r="M185" s="139">
        <f>SUMIFS('Sac Parça Detay'!$U$2:$U$544,'Sac Parça Detay'!$A$2:$A$544,A185)</f>
        <v>3.0614999999999976E-2</v>
      </c>
      <c r="N185" s="140">
        <f>SUMIFS('Sac Parça Detay'!$S$2:$S$544,'Sac Parça Detay'!$A$2:$A$544,A185)</f>
        <v>0.51750054545454549</v>
      </c>
      <c r="O185" s="140">
        <f t="shared" si="17"/>
        <v>1.035001090909091</v>
      </c>
      <c r="P185" s="135">
        <v>1</v>
      </c>
      <c r="Q185" s="135" t="s">
        <v>1525</v>
      </c>
      <c r="R185" s="135" t="s">
        <v>130</v>
      </c>
      <c r="S185" s="135" t="s">
        <v>1520</v>
      </c>
    </row>
    <row r="186" spans="1:19" ht="15" customHeight="1" x14ac:dyDescent="0.25">
      <c r="A186" s="135" t="s">
        <v>554</v>
      </c>
      <c r="B186" s="135" t="s">
        <v>198</v>
      </c>
      <c r="C186" s="135" t="s">
        <v>139</v>
      </c>
      <c r="D186" s="136">
        <v>9</v>
      </c>
      <c r="E186" s="135">
        <f>COUNTIFS('Sac Parça Detay'!$A$2:$A$544,A186)</f>
        <v>2</v>
      </c>
      <c r="F186" s="135">
        <f>SUMIFS('Sac Parça Detay'!$G$2:$G$544,'Sac Parça Detay'!$A$2:$A$544,A186)</f>
        <v>3</v>
      </c>
      <c r="G186" s="137">
        <f>SUMPRODUCT(('Sac Parça Detay'!$A$2:$A$544=A186)*'Sac Parça Detay'!$K$2:$K$544*'Sac Parça Detay'!$G$2:$G$544)</f>
        <v>1.5859999999999999E-2</v>
      </c>
      <c r="H186" s="137">
        <f>SUMPRODUCT(('Sac Parça Detay'!$A$2:$A$544=A186)*'Sac Parça Detay'!$M$2:$M$544*'Sac Parça Detay'!$G$2:$G$544)</f>
        <v>1.9341463414634146E-2</v>
      </c>
      <c r="I186" s="137">
        <f t="shared" si="15"/>
        <v>3.4814634146341471E-3</v>
      </c>
      <c r="J186" s="138">
        <f t="shared" si="16"/>
        <v>0.18000000000000005</v>
      </c>
      <c r="K186" s="139">
        <f>SUMIFS('Sac Parça Detay'!$T$2:$T$544,'Sac Parça Detay'!$A$2:$A$544,A186)</f>
        <v>0.74700600000000006</v>
      </c>
      <c r="L186" s="139">
        <f>SUMIFS('Sac Parça Detay'!$V$2:$V$544,'Sac Parça Detay'!$A$2:$A$544,A186)</f>
        <v>0.91098292682926829</v>
      </c>
      <c r="M186" s="139">
        <f>SUMIFS('Sac Parça Detay'!$U$2:$U$544,'Sac Parça Detay'!$A$2:$A$544,A186)</f>
        <v>0.16397692682926823</v>
      </c>
      <c r="N186" s="140">
        <f>SUMIFS('Sac Parça Detay'!$S$2:$S$544,'Sac Parça Detay'!$A$2:$A$544,A186)</f>
        <v>0.67512116541019962</v>
      </c>
      <c r="O186" s="140">
        <f t="shared" si="17"/>
        <v>6.076090488691797</v>
      </c>
      <c r="P186" s="135">
        <v>0</v>
      </c>
      <c r="Q186" s="135" t="s">
        <v>1521</v>
      </c>
      <c r="R186" s="135" t="s">
        <v>130</v>
      </c>
      <c r="S186" s="135" t="s">
        <v>1520</v>
      </c>
    </row>
    <row r="187" spans="1:19" ht="15" customHeight="1" x14ac:dyDescent="0.25">
      <c r="A187" s="135" t="s">
        <v>472</v>
      </c>
      <c r="B187" s="135" t="s">
        <v>150</v>
      </c>
      <c r="C187" s="135" t="s">
        <v>151</v>
      </c>
      <c r="D187" s="136">
        <v>121</v>
      </c>
      <c r="E187" s="135">
        <f>COUNTIFS('Sac Parça Detay'!$A$2:$A$544,A187)</f>
        <v>3</v>
      </c>
      <c r="F187" s="135">
        <f>SUMIFS('Sac Parça Detay'!$G$2:$G$544,'Sac Parça Detay'!$A$2:$A$544,A187)</f>
        <v>4</v>
      </c>
      <c r="G187" s="137">
        <f>SUMPRODUCT(('Sac Parça Detay'!$A$2:$A$544=A187)*'Sac Parça Detay'!$K$2:$K$544*'Sac Parça Detay'!$G$2:$G$544)</f>
        <v>1.2022000000000001E-2</v>
      </c>
      <c r="H187" s="137">
        <f>SUMPRODUCT(('Sac Parça Detay'!$A$2:$A$544=A187)*'Sac Parça Detay'!$M$2:$M$544*'Sac Parça Detay'!$G$2:$G$544)</f>
        <v>1.4660975609756096E-2</v>
      </c>
      <c r="I187" s="137">
        <f t="shared" si="15"/>
        <v>2.6389756097560946E-3</v>
      </c>
      <c r="J187" s="138">
        <f t="shared" si="16"/>
        <v>0.17999999999999983</v>
      </c>
      <c r="K187" s="139">
        <f>SUMIFS('Sac Parça Detay'!$T$2:$T$544,'Sac Parça Detay'!$A$2:$A$544,A187)</f>
        <v>0.72097539999999993</v>
      </c>
      <c r="L187" s="139">
        <f>SUMIFS('Sac Parça Detay'!$V$2:$V$544,'Sac Parça Detay'!$A$2:$A$544,A187)</f>
        <v>0.87923829268292664</v>
      </c>
      <c r="M187" s="139">
        <f>SUMIFS('Sac Parça Detay'!$U$2:$U$544,'Sac Parça Detay'!$A$2:$A$544,A187)</f>
        <v>0.15826289268292676</v>
      </c>
      <c r="N187" s="140">
        <f>SUMIFS('Sac Parça Detay'!$S$2:$S$544,'Sac Parça Detay'!$A$2:$A$544,A187)</f>
        <v>0.65159550563192914</v>
      </c>
      <c r="O187" s="140">
        <f t="shared" si="17"/>
        <v>78.843056181463425</v>
      </c>
      <c r="P187" s="135">
        <v>0</v>
      </c>
      <c r="Q187" s="135" t="s">
        <v>1521</v>
      </c>
      <c r="R187" s="135" t="s">
        <v>130</v>
      </c>
      <c r="S187" s="135" t="s">
        <v>1520</v>
      </c>
    </row>
    <row r="188" spans="1:19" ht="15" customHeight="1" x14ac:dyDescent="0.25">
      <c r="A188" s="135" t="s">
        <v>473</v>
      </c>
      <c r="B188" s="135" t="s">
        <v>152</v>
      </c>
      <c r="C188" s="135" t="s">
        <v>153</v>
      </c>
      <c r="D188" s="136">
        <v>121</v>
      </c>
      <c r="E188" s="135">
        <f>COUNTIFS('Sac Parça Detay'!$A$2:$A$544,A188)</f>
        <v>3</v>
      </c>
      <c r="F188" s="135">
        <f>SUMIFS('Sac Parça Detay'!$G$2:$G$544,'Sac Parça Detay'!$A$2:$A$544,A188)</f>
        <v>4</v>
      </c>
      <c r="G188" s="137">
        <f>SUMPRODUCT(('Sac Parça Detay'!$A$2:$A$544=A188)*'Sac Parça Detay'!$K$2:$K$544*'Sac Parça Detay'!$G$2:$G$544)</f>
        <v>1.2022000000000001E-2</v>
      </c>
      <c r="H188" s="137">
        <f>SUMPRODUCT(('Sac Parça Detay'!$A$2:$A$544=A188)*'Sac Parça Detay'!$M$2:$M$544*'Sac Parça Detay'!$G$2:$G$544)</f>
        <v>1.4660975609756096E-2</v>
      </c>
      <c r="I188" s="137">
        <f t="shared" si="15"/>
        <v>2.6389756097560946E-3</v>
      </c>
      <c r="J188" s="138">
        <f t="shared" si="16"/>
        <v>0.17999999999999983</v>
      </c>
      <c r="K188" s="139">
        <f>SUMIFS('Sac Parça Detay'!$T$2:$T$544,'Sac Parça Detay'!$A$2:$A$544,A188)</f>
        <v>0.72097539999999993</v>
      </c>
      <c r="L188" s="139">
        <f>SUMIFS('Sac Parça Detay'!$V$2:$V$544,'Sac Parça Detay'!$A$2:$A$544,A188)</f>
        <v>0.87923829268292664</v>
      </c>
      <c r="M188" s="139">
        <f>SUMIFS('Sac Parça Detay'!$U$2:$U$544,'Sac Parça Detay'!$A$2:$A$544,A188)</f>
        <v>0.15826289268292676</v>
      </c>
      <c r="N188" s="140">
        <f>SUMIFS('Sac Parça Detay'!$S$2:$S$544,'Sac Parça Detay'!$A$2:$A$544,A188)</f>
        <v>0.65159550563192914</v>
      </c>
      <c r="O188" s="140">
        <f t="shared" si="17"/>
        <v>78.843056181463425</v>
      </c>
      <c r="P188" s="135">
        <v>0</v>
      </c>
      <c r="Q188" s="135" t="s">
        <v>1521</v>
      </c>
      <c r="R188" s="135" t="s">
        <v>130</v>
      </c>
      <c r="S188" s="135" t="s">
        <v>1520</v>
      </c>
    </row>
    <row r="189" spans="1:19" ht="15" customHeight="1" x14ac:dyDescent="0.25">
      <c r="A189" s="135" t="s">
        <v>540</v>
      </c>
      <c r="B189" s="135" t="s">
        <v>238</v>
      </c>
      <c r="C189" s="135" t="s">
        <v>148</v>
      </c>
      <c r="D189" s="136">
        <v>15</v>
      </c>
      <c r="E189" s="135">
        <f>COUNTIFS('Sac Parça Detay'!$A$2:$A$544,A189)</f>
        <v>1</v>
      </c>
      <c r="F189" s="135">
        <f>SUMIFS('Sac Parça Detay'!$G$2:$G$544,'Sac Parça Detay'!$A$2:$A$544,A189)</f>
        <v>1</v>
      </c>
      <c r="G189" s="137">
        <f>SUMPRODUCT(('Sac Parça Detay'!$A$2:$A$544=A189)*'Sac Parça Detay'!$K$2:$K$544*'Sac Parça Detay'!$G$2:$G$544)</f>
        <v>7.0489999999999997E-3</v>
      </c>
      <c r="H189" s="137">
        <f>SUMPRODUCT(('Sac Parça Detay'!$A$2:$A$544=A189)*'Sac Parça Detay'!$M$2:$M$544*'Sac Parça Detay'!$G$2:$G$544)</f>
        <v>8.9340937896070973E-3</v>
      </c>
      <c r="I189" s="137">
        <f t="shared" si="15"/>
        <v>1.8850937896070976E-3</v>
      </c>
      <c r="J189" s="138">
        <f t="shared" si="16"/>
        <v>0.21100000000000002</v>
      </c>
      <c r="K189" s="139">
        <f>SUMIFS('Sac Parça Detay'!$T$2:$T$544,'Sac Parça Detay'!$A$2:$A$544,A189)</f>
        <v>0.16600394999999998</v>
      </c>
      <c r="L189" s="139">
        <f>SUMIFS('Sac Parça Detay'!$V$2:$V$544,'Sac Parça Detay'!$A$2:$A$544,A189)</f>
        <v>0.21039790874524711</v>
      </c>
      <c r="M189" s="139">
        <f>SUMIFS('Sac Parça Detay'!$U$2:$U$544,'Sac Parça Detay'!$A$2:$A$544,A189)</f>
        <v>4.4393958745247146E-2</v>
      </c>
      <c r="N189" s="140">
        <f>SUMIFS('Sac Parça Detay'!$S$2:$S$544,'Sac Parça Detay'!$A$2:$A$544,A189)</f>
        <v>0.15378939504320777</v>
      </c>
      <c r="O189" s="140">
        <f t="shared" si="17"/>
        <v>2.3068409256481166</v>
      </c>
      <c r="P189" s="135">
        <v>1</v>
      </c>
      <c r="Q189" s="135" t="s">
        <v>1521</v>
      </c>
      <c r="R189" s="135" t="s">
        <v>130</v>
      </c>
      <c r="S189" s="135" t="s">
        <v>1520</v>
      </c>
    </row>
    <row r="190" spans="1:19" ht="15" customHeight="1" x14ac:dyDescent="0.25">
      <c r="A190" s="135" t="s">
        <v>506</v>
      </c>
      <c r="B190" s="135" t="s">
        <v>198</v>
      </c>
      <c r="C190" s="135" t="s">
        <v>139</v>
      </c>
      <c r="D190" s="136">
        <v>47</v>
      </c>
      <c r="E190" s="135">
        <f>COUNTIFS('Sac Parça Detay'!$A$2:$A$544,A190)</f>
        <v>2</v>
      </c>
      <c r="F190" s="135">
        <f>SUMIFS('Sac Parça Detay'!$G$2:$G$544,'Sac Parça Detay'!$A$2:$A$544,A190)</f>
        <v>3</v>
      </c>
      <c r="G190" s="137">
        <f>SUMPRODUCT(('Sac Parça Detay'!$A$2:$A$544=A190)*'Sac Parça Detay'!$K$2:$K$544*'Sac Parça Detay'!$G$2:$G$544)</f>
        <v>1.4565E-2</v>
      </c>
      <c r="H190" s="137">
        <f>SUMPRODUCT(('Sac Parça Detay'!$A$2:$A$544=A190)*'Sac Parça Detay'!$M$2:$M$544*'Sac Parça Detay'!$G$2:$G$544)</f>
        <v>1.7762195121951218E-2</v>
      </c>
      <c r="I190" s="137">
        <f t="shared" si="15"/>
        <v>3.1971951219512181E-3</v>
      </c>
      <c r="J190" s="138">
        <f t="shared" si="16"/>
        <v>0.17999999999999994</v>
      </c>
      <c r="K190" s="139">
        <f>SUMIFS('Sac Parça Detay'!$T$2:$T$544,'Sac Parça Detay'!$A$2:$A$544,A190)</f>
        <v>0.6860115</v>
      </c>
      <c r="L190" s="139">
        <f>SUMIFS('Sac Parça Detay'!$V$2:$V$544,'Sac Parça Detay'!$A$2:$A$544,A190)</f>
        <v>0.83659939024390229</v>
      </c>
      <c r="M190" s="139">
        <f>SUMIFS('Sac Parça Detay'!$U$2:$U$544,'Sac Parça Detay'!$A$2:$A$544,A190)</f>
        <v>0.15058789024390237</v>
      </c>
      <c r="N190" s="140">
        <f>SUMIFS('Sac Parça Detay'!$S$2:$S$544,'Sac Parça Detay'!$A$2:$A$544,A190)</f>
        <v>0.61999620266075384</v>
      </c>
      <c r="O190" s="140">
        <f t="shared" si="17"/>
        <v>29.139821525055432</v>
      </c>
      <c r="P190" s="135">
        <v>0</v>
      </c>
      <c r="Q190" s="135" t="s">
        <v>1521</v>
      </c>
      <c r="R190" s="135" t="s">
        <v>130</v>
      </c>
      <c r="S190" s="135" t="s">
        <v>1520</v>
      </c>
    </row>
    <row r="191" spans="1:19" ht="15" customHeight="1" x14ac:dyDescent="0.25">
      <c r="A191" s="135" t="s">
        <v>600</v>
      </c>
      <c r="B191" s="135" t="s">
        <v>324</v>
      </c>
      <c r="C191" s="135" t="s">
        <v>99</v>
      </c>
      <c r="D191" s="136">
        <v>16</v>
      </c>
      <c r="E191" s="135">
        <f>COUNTIFS('Sac Parça Detay'!$A$2:$A$544,A191)</f>
        <v>2</v>
      </c>
      <c r="F191" s="135">
        <f>SUMIFS('Sac Parça Detay'!$G$2:$G$544,'Sac Parça Detay'!$A$2:$A$544,A191)</f>
        <v>2</v>
      </c>
      <c r="G191" s="137">
        <f>SUMPRODUCT(('Sac Parça Detay'!$A$2:$A$544=A191)*'Sac Parça Detay'!$K$2:$K$544*'Sac Parça Detay'!$G$2:$G$544)</f>
        <v>1.1401E-2</v>
      </c>
      <c r="H191" s="137">
        <f>SUMPRODUCT(('Sac Parça Detay'!$A$2:$A$544=A191)*'Sac Parça Detay'!$M$2:$M$544*'Sac Parça Detay'!$G$2:$G$544)</f>
        <v>1.41111780889672E-2</v>
      </c>
      <c r="I191" s="137">
        <f t="shared" si="15"/>
        <v>2.7101780889672005E-3</v>
      </c>
      <c r="J191" s="138">
        <f t="shared" si="16"/>
        <v>0.19205895297191017</v>
      </c>
      <c r="K191" s="139">
        <f>SUMIFS('Sac Parça Detay'!$T$2:$T$544,'Sac Parça Detay'!$A$2:$A$544,A191)</f>
        <v>0.57998939999999988</v>
      </c>
      <c r="L191" s="139">
        <f>SUMIFS('Sac Parça Detay'!$V$2:$V$544,'Sac Parça Detay'!$A$2:$A$544,A191)</f>
        <v>0.71382026028625301</v>
      </c>
      <c r="M191" s="139">
        <f>SUMIFS('Sac Parça Detay'!$U$2:$U$544,'Sac Parça Detay'!$A$2:$A$544,A191)</f>
        <v>0.13383086028625299</v>
      </c>
      <c r="N191" s="140">
        <f>SUMIFS('Sac Parça Detay'!$S$2:$S$544,'Sac Parça Detay'!$A$2:$A$544,A191)</f>
        <v>0.5272570175898651</v>
      </c>
      <c r="O191" s="140">
        <f t="shared" si="17"/>
        <v>8.4361122814378415</v>
      </c>
      <c r="P191" s="135">
        <v>2</v>
      </c>
      <c r="Q191" s="135" t="s">
        <v>1521</v>
      </c>
      <c r="R191" s="135" t="s">
        <v>130</v>
      </c>
      <c r="S191" s="135" t="s">
        <v>1520</v>
      </c>
    </row>
    <row r="192" spans="1:19" ht="15" customHeight="1" x14ac:dyDescent="0.25">
      <c r="A192" s="135" t="s">
        <v>632</v>
      </c>
      <c r="B192" s="135" t="s">
        <v>367</v>
      </c>
      <c r="C192" s="135" t="s">
        <v>194</v>
      </c>
      <c r="D192" s="136">
        <v>2</v>
      </c>
      <c r="E192" s="135">
        <f>COUNTIFS('Sac Parça Detay'!$A$2:$A$544,A192)</f>
        <v>3</v>
      </c>
      <c r="F192" s="135">
        <f>SUMIFS('Sac Parça Detay'!$G$2:$G$544,'Sac Parça Detay'!$A$2:$A$544,A192)</f>
        <v>3</v>
      </c>
      <c r="G192" s="137">
        <f>SUMPRODUCT(('Sac Parça Detay'!$A$2:$A$544=A192)*'Sac Parça Detay'!$K$2:$K$544*'Sac Parça Detay'!$G$2:$G$544)</f>
        <v>1.2229E-2</v>
      </c>
      <c r="H192" s="137">
        <f>SUMPRODUCT(('Sac Parça Detay'!$A$2:$A$544=A192)*'Sac Parça Detay'!$M$2:$M$544*'Sac Parça Detay'!$G$2:$G$544)</f>
        <v>1.5384945438808001E-2</v>
      </c>
      <c r="I192" s="137">
        <f t="shared" si="15"/>
        <v>3.1559454388080006E-3</v>
      </c>
      <c r="J192" s="138">
        <f t="shared" si="16"/>
        <v>0.20513205271740748</v>
      </c>
      <c r="K192" s="139">
        <f>SUMIFS('Sac Parça Detay'!$T$2:$T$544,'Sac Parça Detay'!$A$2:$A$544,A192)</f>
        <v>0.38399059999999996</v>
      </c>
      <c r="L192" s="139">
        <f>SUMIFS('Sac Parça Detay'!$V$2:$V$544,'Sac Parça Detay'!$A$2:$A$544,A192)</f>
        <v>0.48308728677857121</v>
      </c>
      <c r="M192" s="139">
        <f>SUMIFS('Sac Parça Detay'!$U$2:$U$544,'Sac Parça Detay'!$A$2:$A$544,A192)</f>
        <v>9.9096686778571197E-2</v>
      </c>
      <c r="N192" s="140">
        <f>SUMIFS('Sac Parça Detay'!$S$2:$S$544,'Sac Parça Detay'!$A$2:$A$544,A192)</f>
        <v>0.35403818647714275</v>
      </c>
      <c r="O192" s="140">
        <f t="shared" si="17"/>
        <v>0.70807637295428549</v>
      </c>
      <c r="P192" s="135">
        <v>0</v>
      </c>
      <c r="Q192" s="135" t="s">
        <v>1521</v>
      </c>
      <c r="R192" s="135" t="s">
        <v>130</v>
      </c>
      <c r="S192" s="135" t="s">
        <v>1520</v>
      </c>
    </row>
    <row r="193" spans="1:19" ht="15" customHeight="1" x14ac:dyDescent="0.25">
      <c r="A193" s="135" t="s">
        <v>455</v>
      </c>
      <c r="B193" s="135" t="s">
        <v>118</v>
      </c>
      <c r="C193" s="135" t="s">
        <v>119</v>
      </c>
      <c r="D193" s="136">
        <v>360</v>
      </c>
      <c r="E193" s="135">
        <f>COUNTIFS('Sac Parça Detay'!$A$2:$A$544,A193)</f>
        <v>2</v>
      </c>
      <c r="F193" s="135">
        <f>SUMIFS('Sac Parça Detay'!$G$2:$G$544,'Sac Parça Detay'!$A$2:$A$544,A193)</f>
        <v>2</v>
      </c>
      <c r="G193" s="137">
        <f>SUMPRODUCT(('Sac Parça Detay'!$A$2:$A$544=A193)*'Sac Parça Detay'!$K$2:$K$544*'Sac Parça Detay'!$G$2:$G$544)</f>
        <v>9.1489999999999991E-3</v>
      </c>
      <c r="H193" s="137">
        <f>SUMPRODUCT(('Sac Parça Detay'!$A$2:$A$544=A193)*'Sac Parça Detay'!$M$2:$M$544*'Sac Parça Detay'!$G$2:$G$544)</f>
        <v>1.1540349006151657E-2</v>
      </c>
      <c r="I193" s="137">
        <f t="shared" si="15"/>
        <v>2.3913490061516583E-3</v>
      </c>
      <c r="J193" s="138">
        <f t="shared" si="16"/>
        <v>0.20721635063869681</v>
      </c>
      <c r="K193" s="139">
        <f>SUMIFS('Sac Parça Detay'!$T$2:$T$544,'Sac Parça Detay'!$A$2:$A$544,A193)</f>
        <v>0.38701284999999996</v>
      </c>
      <c r="L193" s="139">
        <f>SUMIFS('Sac Parça Detay'!$V$2:$V$544,'Sac Parça Detay'!$A$2:$A$544,A193)</f>
        <v>0.48399409293950346</v>
      </c>
      <c r="M193" s="139">
        <f>SUMIFS('Sac Parça Detay'!$U$2:$U$544,'Sac Parça Detay'!$A$2:$A$544,A193)</f>
        <v>9.698124293950354E-2</v>
      </c>
      <c r="N193" s="140">
        <f>SUMIFS('Sac Parça Detay'!$S$2:$S$544,'Sac Parça Detay'!$A$2:$A$544,A193)</f>
        <v>0.35545595848049261</v>
      </c>
      <c r="O193" s="140">
        <f t="shared" si="17"/>
        <v>127.96414505297734</v>
      </c>
      <c r="P193" s="135">
        <v>0</v>
      </c>
      <c r="Q193" s="135" t="s">
        <v>1521</v>
      </c>
      <c r="R193" s="135" t="s">
        <v>130</v>
      </c>
      <c r="S193" s="135" t="s">
        <v>1520</v>
      </c>
    </row>
    <row r="194" spans="1:19" ht="15" customHeight="1" x14ac:dyDescent="0.25">
      <c r="A194" s="135" t="s">
        <v>491</v>
      </c>
      <c r="B194" s="135" t="s">
        <v>63</v>
      </c>
      <c r="C194" s="135" t="s">
        <v>156</v>
      </c>
      <c r="D194" s="136">
        <v>119</v>
      </c>
      <c r="E194" s="135">
        <f>COUNTIFS('Sac Parça Detay'!$A$2:$A$544,A194)</f>
        <v>2</v>
      </c>
      <c r="F194" s="135">
        <f>SUMIFS('Sac Parça Detay'!$G$2:$G$544,'Sac Parça Detay'!$A$2:$A$544,A194)</f>
        <v>2</v>
      </c>
      <c r="G194" s="137">
        <f>SUMPRODUCT(('Sac Parça Detay'!$A$2:$A$544=A194)*'Sac Parça Detay'!$K$2:$K$544*'Sac Parça Detay'!$G$2:$G$544)</f>
        <v>1.1561E-2</v>
      </c>
      <c r="H194" s="137">
        <f>SUMPRODUCT(('Sac Parça Detay'!$A$2:$A$544=A194)*'Sac Parça Detay'!$M$2:$M$544*'Sac Parça Detay'!$G$2:$G$544)</f>
        <v>1.4559626263563014E-2</v>
      </c>
      <c r="I194" s="137">
        <f t="shared" si="15"/>
        <v>2.9986262635630142E-3</v>
      </c>
      <c r="J194" s="138">
        <f t="shared" si="16"/>
        <v>0.20595489261062899</v>
      </c>
      <c r="K194" s="139">
        <f>SUMIFS('Sac Parça Detay'!$T$2:$T$544,'Sac Parça Detay'!$A$2:$A$544,A194)</f>
        <v>0.36301539999999999</v>
      </c>
      <c r="L194" s="139">
        <f>SUMIFS('Sac Parça Detay'!$V$2:$V$544,'Sac Parça Detay'!$A$2:$A$544,A194)</f>
        <v>0.45717226467587868</v>
      </c>
      <c r="M194" s="139">
        <f>SUMIFS('Sac Parça Detay'!$U$2:$U$544,'Sac Parça Detay'!$A$2:$A$544,A194)</f>
        <v>9.4156864675878665E-2</v>
      </c>
      <c r="N194" s="140">
        <f>SUMIFS('Sac Parça Detay'!$S$2:$S$544,'Sac Parça Detay'!$A$2:$A$544,A194)</f>
        <v>0.33492283784677906</v>
      </c>
      <c r="O194" s="140">
        <f t="shared" si="17"/>
        <v>39.855817703766711</v>
      </c>
      <c r="P194" s="135">
        <v>0</v>
      </c>
      <c r="Q194" s="135" t="s">
        <v>1521</v>
      </c>
      <c r="R194" s="135" t="s">
        <v>130</v>
      </c>
      <c r="S194" s="135" t="s">
        <v>1520</v>
      </c>
    </row>
    <row r="195" spans="1:19" ht="15" customHeight="1" x14ac:dyDescent="0.25">
      <c r="A195" s="135" t="s">
        <v>476</v>
      </c>
      <c r="B195" s="135" t="s">
        <v>157</v>
      </c>
      <c r="C195" s="135" t="s">
        <v>148</v>
      </c>
      <c r="D195" s="136">
        <v>112</v>
      </c>
      <c r="E195" s="135">
        <f>COUNTIFS('Sac Parça Detay'!$A$2:$A$544,A195)</f>
        <v>3</v>
      </c>
      <c r="F195" s="135">
        <f>SUMIFS('Sac Parça Detay'!$G$2:$G$544,'Sac Parça Detay'!$A$2:$A$544,A195)</f>
        <v>3</v>
      </c>
      <c r="G195" s="137">
        <f>SUMPRODUCT(('Sac Parça Detay'!$A$2:$A$544=A195)*'Sac Parça Detay'!$K$2:$K$544*'Sac Parça Detay'!$G$2:$G$544)</f>
        <v>2.2625000000000003E-2</v>
      </c>
      <c r="H195" s="137">
        <f>SUMPRODUCT(('Sac Parça Detay'!$A$2:$A$544=A195)*'Sac Parça Detay'!$M$2:$M$544*'Sac Parça Detay'!$G$2:$G$544)</f>
        <v>2.8073679248199323E-2</v>
      </c>
      <c r="I195" s="137">
        <f t="shared" si="15"/>
        <v>5.4486792481993201E-3</v>
      </c>
      <c r="J195" s="138">
        <f t="shared" si="16"/>
        <v>0.19408497190651647</v>
      </c>
      <c r="K195" s="139">
        <f>SUMIFS('Sac Parça Detay'!$T$2:$T$544,'Sac Parça Detay'!$A$2:$A$544,A195)</f>
        <v>0.45301564999999999</v>
      </c>
      <c r="L195" s="139">
        <f>SUMIFS('Sac Parça Detay'!$V$2:$V$544,'Sac Parça Detay'!$A$2:$A$544,A195)</f>
        <v>0.56002889834307079</v>
      </c>
      <c r="M195" s="139">
        <f>SUMIFS('Sac Parça Detay'!$U$2:$U$544,'Sac Parça Detay'!$A$2:$A$544,A195)</f>
        <v>0.10701324834307083</v>
      </c>
      <c r="N195" s="140">
        <f>SUMIFS('Sac Parça Detay'!$S$2:$S$544,'Sac Parça Detay'!$A$2:$A$544,A195)</f>
        <v>0.41300060103490627</v>
      </c>
      <c r="O195" s="140">
        <f t="shared" si="17"/>
        <v>46.256067315909505</v>
      </c>
      <c r="P195" s="135">
        <v>0</v>
      </c>
      <c r="Q195" s="135" t="s">
        <v>1521</v>
      </c>
      <c r="R195" s="135" t="s">
        <v>130</v>
      </c>
      <c r="S195" s="135" t="s">
        <v>1520</v>
      </c>
    </row>
    <row r="196" spans="1:19" ht="15" customHeight="1" x14ac:dyDescent="0.25">
      <c r="A196" s="135" t="s">
        <v>601</v>
      </c>
      <c r="B196" s="135" t="s">
        <v>326</v>
      </c>
      <c r="C196" s="135" t="s">
        <v>93</v>
      </c>
      <c r="D196" s="136">
        <v>18</v>
      </c>
      <c r="E196" s="135">
        <f>COUNTIFS('Sac Parça Detay'!$A$2:$A$544,A196)</f>
        <v>2</v>
      </c>
      <c r="F196" s="135">
        <f>SUMIFS('Sac Parça Detay'!$G$2:$G$544,'Sac Parça Detay'!$A$2:$A$544,A196)</f>
        <v>2</v>
      </c>
      <c r="G196" s="137">
        <f>SUMPRODUCT(('Sac Parça Detay'!$A$2:$A$544=A196)*'Sac Parça Detay'!$K$2:$K$544*'Sac Parça Detay'!$G$2:$G$544)</f>
        <v>7.1549999999999999E-3</v>
      </c>
      <c r="H196" s="137">
        <f>SUMPRODUCT(('Sac Parça Detay'!$A$2:$A$544=A196)*'Sac Parça Detay'!$M$2:$M$544*'Sac Parça Detay'!$G$2:$G$544)</f>
        <v>8.9982456953847101E-3</v>
      </c>
      <c r="I196" s="137">
        <f t="shared" si="15"/>
        <v>1.8432456953847102E-3</v>
      </c>
      <c r="J196" s="138">
        <f t="shared" si="16"/>
        <v>0.20484500621383669</v>
      </c>
      <c r="K196" s="139">
        <f>SUMIFS('Sac Parça Detay'!$T$2:$T$544,'Sac Parça Detay'!$A$2:$A$544,A196)</f>
        <v>0.157</v>
      </c>
      <c r="L196" s="139">
        <f>SUMIFS('Sac Parça Detay'!$V$2:$V$544,'Sac Parça Detay'!$A$2:$A$544,A196)</f>
        <v>0.19788399100435872</v>
      </c>
      <c r="M196" s="139">
        <f>SUMIFS('Sac Parça Detay'!$U$2:$U$544,'Sac Parça Detay'!$A$2:$A$544,A196)</f>
        <v>4.0883991004358709E-2</v>
      </c>
      <c r="N196" s="140">
        <f>SUMIFS('Sac Parça Detay'!$S$2:$S$544,'Sac Parça Detay'!$A$2:$A$544,A196)</f>
        <v>0.14492697756569684</v>
      </c>
      <c r="O196" s="140">
        <f t="shared" si="17"/>
        <v>2.6086855961825428</v>
      </c>
      <c r="P196" s="135">
        <v>0</v>
      </c>
      <c r="Q196" s="135" t="s">
        <v>1521</v>
      </c>
      <c r="R196" s="135" t="s">
        <v>130</v>
      </c>
      <c r="S196" s="135" t="s">
        <v>1520</v>
      </c>
    </row>
    <row r="197" spans="1:19" ht="15" customHeight="1" x14ac:dyDescent="0.25">
      <c r="A197" s="135" t="s">
        <v>539</v>
      </c>
      <c r="B197" s="135" t="s">
        <v>236</v>
      </c>
      <c r="C197" s="135"/>
      <c r="D197" s="136">
        <v>13</v>
      </c>
      <c r="E197" s="135">
        <f>COUNTIFS('Sac Parça Detay'!$A$2:$A$544,A197)</f>
        <v>6</v>
      </c>
      <c r="F197" s="135">
        <f>SUMIFS('Sac Parça Detay'!$G$2:$G$544,'Sac Parça Detay'!$A$2:$A$544,A197)</f>
        <v>7</v>
      </c>
      <c r="G197" s="137">
        <f>SUMPRODUCT(('Sac Parça Detay'!$A$2:$A$544=A197)*'Sac Parça Detay'!$K$2:$K$544*'Sac Parça Detay'!$G$2:$G$544)</f>
        <v>0.11477899999999999</v>
      </c>
      <c r="H197" s="137">
        <f>SUMPRODUCT(('Sac Parça Detay'!$A$2:$A$544=A197)*'Sac Parça Detay'!$M$2:$M$544*'Sac Parça Detay'!$G$2:$G$544)</f>
        <v>0.14426541160468637</v>
      </c>
      <c r="I197" s="137">
        <f t="shared" ref="I197:I228" si="18">H197-G197</f>
        <v>2.9486411604686374E-2</v>
      </c>
      <c r="J197" s="138">
        <f t="shared" ref="J197:J228" si="19">IF(H197=0,0,I197/H197)</f>
        <v>0.20439002860564068</v>
      </c>
      <c r="K197" s="139">
        <f>SUMIFS('Sac Parça Detay'!$T$2:$T$544,'Sac Parça Detay'!$A$2:$A$544,A197)</f>
        <v>5.3300950499999997</v>
      </c>
      <c r="L197" s="139">
        <f>SUMIFS('Sac Parça Detay'!$V$2:$V$544,'Sac Parça Detay'!$A$2:$A$544,A197)</f>
        <v>6.6965690017465764</v>
      </c>
      <c r="M197" s="139">
        <f>SUMIFS('Sac Parça Detay'!$U$2:$U$544,'Sac Parça Detay'!$A$2:$A$544,A197)</f>
        <v>1.3664739517465756</v>
      </c>
      <c r="N197" s="140">
        <f>SUMIFS('Sac Parça Detay'!$S$2:$S$544,'Sac Parça Detay'!$A$2:$A$544,A197)</f>
        <v>4.9100455444620179</v>
      </c>
      <c r="O197" s="140">
        <f t="shared" ref="O197:O228" si="20">N197*D197</f>
        <v>63.830592078006234</v>
      </c>
      <c r="P197" s="135">
        <v>2</v>
      </c>
      <c r="Q197" s="135" t="s">
        <v>1521</v>
      </c>
      <c r="R197" s="135" t="s">
        <v>130</v>
      </c>
      <c r="S197" s="135" t="s">
        <v>1520</v>
      </c>
    </row>
    <row r="198" spans="1:19" ht="15" customHeight="1" x14ac:dyDescent="0.25">
      <c r="A198" s="135" t="s">
        <v>568</v>
      </c>
      <c r="B198" s="135" t="s">
        <v>281</v>
      </c>
      <c r="C198" s="135" t="s">
        <v>90</v>
      </c>
      <c r="D198" s="136">
        <v>69</v>
      </c>
      <c r="E198" s="135">
        <f>COUNTIFS('Sac Parça Detay'!$A$2:$A$544,A198)</f>
        <v>1</v>
      </c>
      <c r="F198" s="135">
        <f>SUMIFS('Sac Parça Detay'!$G$2:$G$544,'Sac Parça Detay'!$A$2:$A$544,A198)</f>
        <v>1</v>
      </c>
      <c r="G198" s="137">
        <f>SUMPRODUCT(('Sac Parça Detay'!$A$2:$A$544=A198)*'Sac Parça Detay'!$K$2:$K$544*'Sac Parça Detay'!$G$2:$G$544)</f>
        <v>7.0699999999999999E-3</v>
      </c>
      <c r="H198" s="137">
        <f>SUMPRODUCT(('Sac Parça Detay'!$A$2:$A$544=A198)*'Sac Parça Detay'!$M$2:$M$544*'Sac Parça Detay'!$G$2:$G$544)</f>
        <v>8.6219512195121941E-3</v>
      </c>
      <c r="I198" s="137">
        <f t="shared" si="18"/>
        <v>1.5519512195121942E-3</v>
      </c>
      <c r="J198" s="138">
        <f t="shared" si="19"/>
        <v>0.17999999999999991</v>
      </c>
      <c r="K198" s="139">
        <f>SUMIFS('Sac Parça Detay'!$T$2:$T$544,'Sac Parça Detay'!$A$2:$A$544,A198)</f>
        <v>0.55499500000000002</v>
      </c>
      <c r="L198" s="139">
        <f>SUMIFS('Sac Parça Detay'!$V$2:$V$544,'Sac Parça Detay'!$A$2:$A$544,A198)</f>
        <v>0.67682317073170728</v>
      </c>
      <c r="M198" s="139">
        <f>SUMIFS('Sac Parça Detay'!$U$2:$U$544,'Sac Parça Detay'!$A$2:$A$544,A198)</f>
        <v>0.12182817073170724</v>
      </c>
      <c r="N198" s="140">
        <f>SUMIFS('Sac Parça Detay'!$S$2:$S$544,'Sac Parça Detay'!$A$2:$A$544,A198)</f>
        <v>0.50158749889135257</v>
      </c>
      <c r="O198" s="140">
        <f t="shared" si="20"/>
        <v>34.609537423503326</v>
      </c>
      <c r="P198" s="135">
        <v>1</v>
      </c>
      <c r="Q198" s="135" t="s">
        <v>1521</v>
      </c>
      <c r="R198" s="135" t="s">
        <v>130</v>
      </c>
      <c r="S198" s="135" t="s">
        <v>1520</v>
      </c>
    </row>
    <row r="199" spans="1:19" ht="15" customHeight="1" x14ac:dyDescent="0.25">
      <c r="A199" s="135" t="s">
        <v>555</v>
      </c>
      <c r="B199" s="135" t="s">
        <v>260</v>
      </c>
      <c r="C199" s="135" t="s">
        <v>107</v>
      </c>
      <c r="D199" s="136">
        <v>13</v>
      </c>
      <c r="E199" s="135">
        <f>COUNTIFS('Sac Parça Detay'!$A$2:$A$544,A199)</f>
        <v>1</v>
      </c>
      <c r="F199" s="135">
        <f>SUMIFS('Sac Parça Detay'!$G$2:$G$544,'Sac Parça Detay'!$A$2:$A$544,A199)</f>
        <v>1</v>
      </c>
      <c r="G199" s="137">
        <f>SUMPRODUCT(('Sac Parça Detay'!$A$2:$A$544=A199)*'Sac Parça Detay'!$K$2:$K$544*'Sac Parça Detay'!$G$2:$G$544)</f>
        <v>2.2505000000000001E-2</v>
      </c>
      <c r="H199" s="137">
        <f>SUMPRODUCT(('Sac Parça Detay'!$A$2:$A$544=A199)*'Sac Parça Detay'!$M$2:$M$544*'Sac Parça Detay'!$G$2:$G$544)</f>
        <v>2.7445121951219512E-2</v>
      </c>
      <c r="I199" s="137">
        <f t="shared" si="18"/>
        <v>4.9401219512195116E-3</v>
      </c>
      <c r="J199" s="138">
        <f t="shared" si="19"/>
        <v>0.17999999999999997</v>
      </c>
      <c r="K199" s="139">
        <f>SUMIFS('Sac Parça Detay'!$T$2:$T$544,'Sac Parça Detay'!$A$2:$A$544,A199)</f>
        <v>1.0599855</v>
      </c>
      <c r="L199" s="139">
        <f>SUMIFS('Sac Parça Detay'!$V$2:$V$544,'Sac Parça Detay'!$A$2:$A$544,A199)</f>
        <v>1.2926652439024391</v>
      </c>
      <c r="M199" s="139">
        <f>SUMIFS('Sac Parça Detay'!$U$2:$U$544,'Sac Parça Detay'!$A$2:$A$544,A199)</f>
        <v>0.23267974390243898</v>
      </c>
      <c r="N199" s="140">
        <f>SUMIFS('Sac Parça Detay'!$S$2:$S$544,'Sac Parça Detay'!$A$2:$A$544,A199)</f>
        <v>0.95798246075388038</v>
      </c>
      <c r="O199" s="140">
        <f t="shared" si="20"/>
        <v>12.453771989800446</v>
      </c>
      <c r="P199" s="135">
        <v>1</v>
      </c>
      <c r="Q199" s="135" t="s">
        <v>1521</v>
      </c>
      <c r="R199" s="135" t="s">
        <v>130</v>
      </c>
      <c r="S199" s="135" t="s">
        <v>1520</v>
      </c>
    </row>
    <row r="200" spans="1:19" ht="15" customHeight="1" x14ac:dyDescent="0.25">
      <c r="A200" s="141" t="s">
        <v>43</v>
      </c>
      <c r="B200" s="141"/>
      <c r="C200" s="141"/>
      <c r="D200" s="141"/>
      <c r="E200" s="141"/>
      <c r="F200" s="141">
        <f>SUM(F5:F199)</f>
        <v>742</v>
      </c>
      <c r="G200" s="142">
        <f>SUM(G5:G199)</f>
        <v>33.455311000000002</v>
      </c>
      <c r="H200" s="142">
        <f>SUM(H5:H199)</f>
        <v>50.799563250396943</v>
      </c>
      <c r="I200" s="142">
        <f>SUM(I5:I199)</f>
        <v>17.344252250396917</v>
      </c>
      <c r="J200" s="143">
        <f t="shared" si="19"/>
        <v>0.34142522377417073</v>
      </c>
      <c r="K200" s="144">
        <f>SUM(K5:K199)</f>
        <v>1636.981357450001</v>
      </c>
      <c r="L200" s="144">
        <f>SUM(L5:L199)</f>
        <v>2461.6370465342866</v>
      </c>
      <c r="M200" s="144">
        <f>SUM(M5:M199)</f>
        <v>824.65725908428612</v>
      </c>
      <c r="N200" s="145">
        <f>SUMPRODUCT(N5:N199,D5:D199)/SUM(D5:D199)</f>
        <v>6.4053306410388275</v>
      </c>
      <c r="O200" s="145">
        <f>SUM(O5:O199)</f>
        <v>50365.114830488303</v>
      </c>
      <c r="P200" s="141"/>
      <c r="Q200" s="141"/>
      <c r="R200" s="141"/>
      <c r="S200" s="141"/>
    </row>
    <row r="201" spans="1:19" ht="15" customHeight="1" x14ac:dyDescent="0.25">
      <c r="A201" s="65" t="s">
        <v>1527</v>
      </c>
      <c r="K201" s="146" t="s">
        <v>1528</v>
      </c>
      <c r="O201" s="147">
        <f>SUMPRODUCT(L5:L199,D5:D199)</f>
        <v>72463.192422471562</v>
      </c>
    </row>
    <row r="202" spans="1:19" ht="15" customHeight="1" x14ac:dyDescent="0.25">
      <c r="K202" s="146" t="s">
        <v>1529</v>
      </c>
      <c r="O202" s="147">
        <f>SUMPRODUCT(M5:M199,D5:D199)</f>
        <v>23238.848548571561</v>
      </c>
    </row>
    <row r="204" spans="1:19" ht="15" customHeight="1" x14ac:dyDescent="0.25">
      <c r="A204" s="148" t="s">
        <v>1530</v>
      </c>
      <c r="F204">
        <f>SUMIFS(F5:F199,$S$5:$S$199,"STEP")</f>
        <v>341</v>
      </c>
      <c r="G204" s="149">
        <f>SUMIFS(G5:G199,$S$5:$S$199,"STEP")</f>
        <v>25.777804999999994</v>
      </c>
      <c r="H204" s="149">
        <f>SUMIFS(H5:H199,$S$5:$S$199,"STEP")</f>
        <v>41.254334410000006</v>
      </c>
      <c r="I204" s="149">
        <f>SUMIFS(I5:I199,$S$5:$S$199,"STEP")</f>
        <v>15.476529410000003</v>
      </c>
      <c r="J204" s="150">
        <f>IF(H204=0,0,I204/H204)</f>
        <v>0.37514917235577822</v>
      </c>
      <c r="K204" s="151">
        <f>SUMIFS(K5:K199,$S$5:$S$199,"STEP")</f>
        <v>1279.1388327000004</v>
      </c>
      <c r="L204" s="151">
        <f>SUMIFS(L5:L199,$S$5:$S$199,"STEP")</f>
        <v>2018.4582953694996</v>
      </c>
      <c r="M204" s="151">
        <f>SUMIFS(M5:M199,$S$5:$S$199,"STEP")</f>
        <v>739.32103266950003</v>
      </c>
      <c r="O204" s="152">
        <f>SUMIFS(O5:O199,$S$5:$S$199,"STEP")</f>
        <v>39798.5214005425</v>
      </c>
    </row>
    <row r="205" spans="1:19" ht="15" customHeight="1" x14ac:dyDescent="0.25">
      <c r="A205" s="153" t="s">
        <v>1531</v>
      </c>
      <c r="B205" s="154"/>
      <c r="C205" s="154"/>
      <c r="D205" s="154"/>
      <c r="E205" s="154"/>
      <c r="F205" s="154">
        <f>SUMIFS(F5:F199,$S$5:$S$199,"STEP yok")</f>
        <v>401</v>
      </c>
      <c r="G205" s="155">
        <f>SUMIFS(G5:G199,$S$5:$S$199,"STEP yok")</f>
        <v>7.6775060000000028</v>
      </c>
      <c r="H205" s="155">
        <f>SUMIFS(H5:H199,$S$5:$S$199,"STEP yok")</f>
        <v>9.5452288403969199</v>
      </c>
      <c r="I205" s="155">
        <f>SUMIFS(I5:I199,$S$5:$S$199,"STEP yok")</f>
        <v>1.8677228403969186</v>
      </c>
      <c r="J205" s="156">
        <f>IF(H205=0,0,I205/H205)</f>
        <v>0.19567082902113564</v>
      </c>
      <c r="K205" s="157">
        <f>SUMIFS(K5:K199,$S$5:$S$199,"STEP yok")</f>
        <v>357.84252474999977</v>
      </c>
      <c r="L205" s="157">
        <f>SUMIFS(L5:L199,$S$5:$S$199,"STEP yok")</f>
        <v>443.17875116478695</v>
      </c>
      <c r="M205" s="157">
        <f>SUMIFS(M5:M199,$S$5:$S$199,"STEP yok")</f>
        <v>85.336226414787134</v>
      </c>
      <c r="N205" s="154"/>
      <c r="O205" s="158">
        <f>SUMIFS(O5:O199,$S$5:$S$199,"STEP yok")</f>
        <v>10566.593429945868</v>
      </c>
      <c r="P205" s="154"/>
      <c r="Q205" s="154"/>
      <c r="R205" s="154"/>
      <c r="S205" s="154"/>
    </row>
  </sheetData>
  <autoFilter ref="A4:S199" xr:uid="{00000000-0009-0000-0000-000007000000}"/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44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7109375" defaultRowHeight="15" x14ac:dyDescent="0.25"/>
  <cols>
    <col min="1" max="1" width="10" customWidth="1"/>
    <col min="2" max="2" width="6" customWidth="1"/>
    <col min="3" max="3" width="13" customWidth="1"/>
    <col min="4" max="4" width="30" customWidth="1"/>
    <col min="5" max="5" width="10" customWidth="1"/>
    <col min="6" max="6" width="9" customWidth="1"/>
    <col min="7" max="7" width="8" customWidth="1"/>
    <col min="8" max="8" width="30" customWidth="1"/>
    <col min="9" max="9" width="10" customWidth="1"/>
    <col min="15" max="15" width="8" customWidth="1"/>
    <col min="16" max="16" width="9" customWidth="1"/>
    <col min="18" max="18" width="11" customWidth="1"/>
    <col min="20" max="20" width="10" customWidth="1"/>
    <col min="24" max="24" width="70" customWidth="1"/>
  </cols>
  <sheetData>
    <row r="1" spans="1:24" ht="39.75" customHeight="1" x14ac:dyDescent="0.25">
      <c r="A1" s="117" t="s">
        <v>1487</v>
      </c>
      <c r="B1" s="117" t="s">
        <v>692</v>
      </c>
      <c r="C1" s="117" t="s">
        <v>691</v>
      </c>
      <c r="D1" s="117" t="s">
        <v>1532</v>
      </c>
      <c r="E1" s="117" t="s">
        <v>1533</v>
      </c>
      <c r="F1" s="117" t="s">
        <v>1534</v>
      </c>
      <c r="G1" s="117" t="s">
        <v>1535</v>
      </c>
      <c r="H1" s="117" t="s">
        <v>1536</v>
      </c>
      <c r="I1" s="117" t="s">
        <v>1537</v>
      </c>
      <c r="J1" s="117" t="s">
        <v>1538</v>
      </c>
      <c r="K1" s="117" t="s">
        <v>1493</v>
      </c>
      <c r="L1" s="117" t="s">
        <v>1539</v>
      </c>
      <c r="M1" s="117" t="s">
        <v>1540</v>
      </c>
      <c r="N1" s="117" t="s">
        <v>1495</v>
      </c>
      <c r="O1" s="117" t="s">
        <v>1496</v>
      </c>
      <c r="P1" s="117" t="s">
        <v>1541</v>
      </c>
      <c r="Q1" s="117" t="s">
        <v>1542</v>
      </c>
      <c r="R1" s="117" t="s">
        <v>1543</v>
      </c>
      <c r="S1" s="117" t="s">
        <v>1544</v>
      </c>
      <c r="T1" s="117" t="s">
        <v>1545</v>
      </c>
      <c r="U1" s="117" t="s">
        <v>1546</v>
      </c>
      <c r="V1" s="117" t="s">
        <v>1547</v>
      </c>
      <c r="W1" s="117" t="s">
        <v>52</v>
      </c>
      <c r="X1" s="117" t="s">
        <v>1504</v>
      </c>
    </row>
    <row r="2" spans="1:24" ht="15" customHeight="1" x14ac:dyDescent="0.25">
      <c r="A2" s="118" t="s">
        <v>438</v>
      </c>
      <c r="B2" s="118">
        <v>1</v>
      </c>
      <c r="C2" s="118" t="s">
        <v>1548</v>
      </c>
      <c r="D2" s="118" t="s">
        <v>1549</v>
      </c>
      <c r="E2" s="118" t="s">
        <v>1550</v>
      </c>
      <c r="F2" s="118">
        <v>4</v>
      </c>
      <c r="G2" s="118">
        <v>17</v>
      </c>
      <c r="H2" s="118" t="s">
        <v>1551</v>
      </c>
      <c r="I2" s="159">
        <v>828.9</v>
      </c>
      <c r="J2" s="159">
        <v>69.900000000000006</v>
      </c>
      <c r="K2" s="160">
        <v>4.1119999999999997E-2</v>
      </c>
      <c r="L2" s="160">
        <v>1.47E-3</v>
      </c>
      <c r="M2" s="161">
        <f t="shared" ref="M2:M65" si="0">I2*J2/1000000</f>
        <v>5.7940110000000003E-2</v>
      </c>
      <c r="N2" s="161">
        <f t="shared" ref="N2:N65" si="1">MAX(M2-K2,0)</f>
        <v>1.6820110000000006E-2</v>
      </c>
      <c r="O2" s="121">
        <f t="shared" ref="O2:O65" si="2">IF(M2=0,0,N2/M2)</f>
        <v>0.29030165803965519</v>
      </c>
      <c r="P2" s="162">
        <f>IF(E2="Hardox 450",INDEX('Sac Parametreleri'!$G$11:$G$24,MATCH(F2,'Sac Parametreleri'!$A$11:$A$24,0)),INDEX('Sac Parametreleri'!$E$11:$E$24,MATCH(F2,'Sac Parametreleri'!$A$11:$A$24,0)))</f>
        <v>25.12</v>
      </c>
      <c r="Q2" s="162">
        <f>INDEX('Sac Parametreleri'!$F$11:$F$24,MATCH(F2,'Sac Parametreleri'!$A$11:$A$24,0))</f>
        <v>10.276363636363635</v>
      </c>
      <c r="R2" s="163">
        <f t="shared" ref="R2:R65" si="3">(K2+N2)*P2-N2*Q2</f>
        <v>1.2826059964363636</v>
      </c>
      <c r="S2" s="163">
        <f t="shared" ref="S2:S65" si="4">R2*G2</f>
        <v>21.804301939418181</v>
      </c>
      <c r="T2" s="122">
        <f>K2*F2*'Sac Parametreleri'!$B$6*G2</f>
        <v>21.949855999999997</v>
      </c>
      <c r="U2" s="122">
        <f>N2*F2*'Sac Parametreleri'!$B$6*G2</f>
        <v>8.9785747180000026</v>
      </c>
      <c r="V2" s="122">
        <f>M2*F2*'Sac Parametreleri'!$B$6*G2</f>
        <v>30.928430717999998</v>
      </c>
      <c r="W2" s="118" t="s">
        <v>85</v>
      </c>
    </row>
    <row r="3" spans="1:24" ht="15" customHeight="1" x14ac:dyDescent="0.25">
      <c r="A3" s="118" t="s">
        <v>438</v>
      </c>
      <c r="B3" s="118">
        <v>4</v>
      </c>
      <c r="C3" s="118" t="s">
        <v>863</v>
      </c>
      <c r="D3" s="118" t="s">
        <v>864</v>
      </c>
      <c r="E3" s="118" t="s">
        <v>1552</v>
      </c>
      <c r="F3" s="118">
        <v>6</v>
      </c>
      <c r="G3" s="118">
        <v>3</v>
      </c>
      <c r="H3" s="118" t="s">
        <v>1553</v>
      </c>
      <c r="I3" s="159">
        <v>821.2</v>
      </c>
      <c r="J3" s="159">
        <v>69.900000000000006</v>
      </c>
      <c r="K3" s="160">
        <v>4.0799000000000002E-2</v>
      </c>
      <c r="L3" s="160">
        <v>1.5809999999999999E-3</v>
      </c>
      <c r="M3" s="161">
        <f t="shared" si="0"/>
        <v>5.7401880000000002E-2</v>
      </c>
      <c r="N3" s="161">
        <f t="shared" si="1"/>
        <v>1.660288E-2</v>
      </c>
      <c r="O3" s="121">
        <f t="shared" si="2"/>
        <v>0.28923930714464402</v>
      </c>
      <c r="P3" s="162">
        <f>IF(E3="Hardox 450",INDEX('Sac Parametreleri'!$G$11:$G$24,MATCH(F3,'Sac Parametreleri'!$A$11:$A$24,0)),INDEX('Sac Parametreleri'!$E$11:$E$24,MATCH(F3,'Sac Parametreleri'!$A$11:$A$24,0)))</f>
        <v>37.68</v>
      </c>
      <c r="Q3" s="162">
        <f>INDEX('Sac Parametreleri'!$F$11:$F$24,MATCH(F3,'Sac Parametreleri'!$A$11:$A$24,0))</f>
        <v>15.414545454545452</v>
      </c>
      <c r="R3" s="163">
        <f t="shared" si="3"/>
        <v>1.9069769899636364</v>
      </c>
      <c r="S3" s="163">
        <f t="shared" si="4"/>
        <v>5.720930969890909</v>
      </c>
      <c r="T3" s="122">
        <f>K3*F3*'Sac Parametreleri'!$B$6*G3</f>
        <v>5.7648986999999998</v>
      </c>
      <c r="U3" s="122">
        <f>N3*F3*'Sac Parametreleri'!$B$6*G3</f>
        <v>2.3459869439999999</v>
      </c>
      <c r="V3" s="122">
        <f>M3*F3*'Sac Parametreleri'!$B$6*G3</f>
        <v>8.1108856439999997</v>
      </c>
      <c r="W3" s="118" t="s">
        <v>85</v>
      </c>
    </row>
    <row r="4" spans="1:24" ht="15" customHeight="1" x14ac:dyDescent="0.25">
      <c r="A4" s="118" t="s">
        <v>438</v>
      </c>
      <c r="B4" s="118">
        <v>5</v>
      </c>
      <c r="C4" s="118" t="s">
        <v>865</v>
      </c>
      <c r="D4" s="118" t="s">
        <v>866</v>
      </c>
      <c r="E4" s="118" t="s">
        <v>1552</v>
      </c>
      <c r="F4" s="118">
        <v>6</v>
      </c>
      <c r="G4" s="118">
        <v>1</v>
      </c>
      <c r="H4" s="118" t="s">
        <v>1553</v>
      </c>
      <c r="I4" s="159">
        <v>820.4</v>
      </c>
      <c r="J4" s="159">
        <v>69.900000000000006</v>
      </c>
      <c r="K4" s="160">
        <v>4.0578999999999997E-2</v>
      </c>
      <c r="L4" s="160">
        <v>1.7570000000000001E-3</v>
      </c>
      <c r="M4" s="161">
        <f t="shared" si="0"/>
        <v>5.7345960000000008E-2</v>
      </c>
      <c r="N4" s="161">
        <f t="shared" si="1"/>
        <v>1.6766960000000011E-2</v>
      </c>
      <c r="O4" s="121">
        <f t="shared" si="2"/>
        <v>0.29238258457962879</v>
      </c>
      <c r="P4" s="162">
        <f>IF(E4="Hardox 450",INDEX('Sac Parametreleri'!$G$11:$G$24,MATCH(F4,'Sac Parametreleri'!$A$11:$A$24,0)),INDEX('Sac Parametreleri'!$E$11:$E$24,MATCH(F4,'Sac Parametreleri'!$A$11:$A$24,0)))</f>
        <v>37.68</v>
      </c>
      <c r="Q4" s="162">
        <f>INDEX('Sac Parametreleri'!$F$11:$F$24,MATCH(F4,'Sac Parametreleri'!$A$11:$A$24,0))</f>
        <v>15.414545454545452</v>
      </c>
      <c r="R4" s="163">
        <f t="shared" si="3"/>
        <v>1.9023407057454547</v>
      </c>
      <c r="S4" s="163">
        <f t="shared" si="4"/>
        <v>1.9023407057454547</v>
      </c>
      <c r="T4" s="122">
        <f>K4*F4*'Sac Parametreleri'!$B$6*G4</f>
        <v>1.9112708999999997</v>
      </c>
      <c r="U4" s="122">
        <f>N4*F4*'Sac Parametreleri'!$B$6*G4</f>
        <v>0.78972381600000052</v>
      </c>
      <c r="V4" s="122">
        <f>M4*F4*'Sac Parametreleri'!$B$6*G4</f>
        <v>2.7009947160000003</v>
      </c>
      <c r="W4" s="118" t="s">
        <v>85</v>
      </c>
    </row>
    <row r="5" spans="1:24" ht="15" customHeight="1" x14ac:dyDescent="0.25">
      <c r="A5" s="118" t="s">
        <v>438</v>
      </c>
      <c r="B5" s="118">
        <v>6</v>
      </c>
      <c r="C5" s="118" t="s">
        <v>867</v>
      </c>
      <c r="D5" s="118" t="s">
        <v>866</v>
      </c>
      <c r="E5" s="118" t="s">
        <v>1552</v>
      </c>
      <c r="F5" s="118">
        <v>6</v>
      </c>
      <c r="G5" s="118">
        <v>1</v>
      </c>
      <c r="H5" s="118" t="s">
        <v>1554</v>
      </c>
      <c r="I5" s="159">
        <v>814.7</v>
      </c>
      <c r="J5" s="159">
        <v>69.900000000000006</v>
      </c>
      <c r="K5" s="160">
        <v>4.0547E-2</v>
      </c>
      <c r="L5" s="160">
        <v>1.521E-3</v>
      </c>
      <c r="M5" s="161">
        <f t="shared" si="0"/>
        <v>5.6947530000000003E-2</v>
      </c>
      <c r="N5" s="161">
        <f t="shared" si="1"/>
        <v>1.6400530000000003E-2</v>
      </c>
      <c r="O5" s="121">
        <f t="shared" si="2"/>
        <v>0.28799370227295201</v>
      </c>
      <c r="P5" s="162">
        <f>IF(E5="Hardox 450",INDEX('Sac Parametreleri'!$G$11:$G$24,MATCH(F5,'Sac Parametreleri'!$A$11:$A$24,0)),INDEX('Sac Parametreleri'!$E$11:$E$24,MATCH(F5,'Sac Parametreleri'!$A$11:$A$24,0)))</f>
        <v>37.68</v>
      </c>
      <c r="Q5" s="162">
        <f>INDEX('Sac Parametreleri'!$F$11:$F$24,MATCH(F5,'Sac Parametreleri'!$A$11:$A$24,0))</f>
        <v>15.414545454545452</v>
      </c>
      <c r="R5" s="163">
        <f t="shared" si="3"/>
        <v>1.8929762152363638</v>
      </c>
      <c r="S5" s="163">
        <f t="shared" si="4"/>
        <v>1.8929762152363638</v>
      </c>
      <c r="T5" s="122">
        <f>K5*F5*'Sac Parametreleri'!$B$6*G5</f>
        <v>1.9097636999999998</v>
      </c>
      <c r="U5" s="122">
        <f>N5*F5*'Sac Parametreleri'!$B$6*G5</f>
        <v>0.77246496300000012</v>
      </c>
      <c r="V5" s="122">
        <f>M5*F5*'Sac Parametreleri'!$B$6*G5</f>
        <v>2.6822286630000001</v>
      </c>
      <c r="W5" s="118" t="s">
        <v>85</v>
      </c>
    </row>
    <row r="6" spans="1:24" ht="15" customHeight="1" x14ac:dyDescent="0.25">
      <c r="A6" s="118" t="s">
        <v>438</v>
      </c>
      <c r="B6" s="118">
        <v>7</v>
      </c>
      <c r="C6" s="118" t="s">
        <v>868</v>
      </c>
      <c r="D6" s="118" t="s">
        <v>864</v>
      </c>
      <c r="E6" s="118" t="s">
        <v>1552</v>
      </c>
      <c r="F6" s="118">
        <v>6</v>
      </c>
      <c r="G6" s="118">
        <v>1</v>
      </c>
      <c r="H6" s="118" t="s">
        <v>1554</v>
      </c>
      <c r="I6" s="159">
        <v>815.1</v>
      </c>
      <c r="J6" s="159">
        <v>69.900000000000006</v>
      </c>
      <c r="K6" s="160">
        <v>4.0730000000000002E-2</v>
      </c>
      <c r="L6" s="160">
        <v>1.343E-3</v>
      </c>
      <c r="M6" s="161">
        <f t="shared" si="0"/>
        <v>5.6975490000000004E-2</v>
      </c>
      <c r="N6" s="161">
        <f t="shared" si="1"/>
        <v>1.6245490000000001E-2</v>
      </c>
      <c r="O6" s="121">
        <f t="shared" si="2"/>
        <v>0.28513120290847871</v>
      </c>
      <c r="P6" s="162">
        <f>IF(E6="Hardox 450",INDEX('Sac Parametreleri'!$G$11:$G$24,MATCH(F6,'Sac Parametreleri'!$A$11:$A$24,0)),INDEX('Sac Parametreleri'!$E$11:$E$24,MATCH(F6,'Sac Parametreleri'!$A$11:$A$24,0)))</f>
        <v>37.68</v>
      </c>
      <c r="Q6" s="162">
        <f>INDEX('Sac Parametreleri'!$F$11:$F$24,MATCH(F6,'Sac Parametreleri'!$A$11:$A$24,0))</f>
        <v>15.414545454545452</v>
      </c>
      <c r="R6" s="163">
        <f t="shared" si="3"/>
        <v>1.8964196191636364</v>
      </c>
      <c r="S6" s="163">
        <f t="shared" si="4"/>
        <v>1.8964196191636364</v>
      </c>
      <c r="T6" s="122">
        <f>K6*F6*'Sac Parametreleri'!$B$6*G6</f>
        <v>1.9183829999999999</v>
      </c>
      <c r="U6" s="122">
        <f>N6*F6*'Sac Parametreleri'!$B$6*G6</f>
        <v>0.76516257900000006</v>
      </c>
      <c r="V6" s="122">
        <f>M6*F6*'Sac Parametreleri'!$B$6*G6</f>
        <v>2.683545579</v>
      </c>
      <c r="W6" s="118" t="s">
        <v>85</v>
      </c>
    </row>
    <row r="7" spans="1:24" ht="15" customHeight="1" x14ac:dyDescent="0.25">
      <c r="A7" s="118" t="s">
        <v>438</v>
      </c>
      <c r="B7" s="118">
        <v>16</v>
      </c>
      <c r="C7" s="118" t="s">
        <v>1555</v>
      </c>
      <c r="D7" s="118" t="s">
        <v>1556</v>
      </c>
      <c r="E7" s="118" t="s">
        <v>1552</v>
      </c>
      <c r="F7" s="118">
        <v>10</v>
      </c>
      <c r="G7" s="118">
        <v>1</v>
      </c>
      <c r="H7" s="118" t="s">
        <v>1551</v>
      </c>
      <c r="I7" s="159">
        <v>232</v>
      </c>
      <c r="J7" s="159">
        <v>130</v>
      </c>
      <c r="K7" s="160">
        <v>2.7167E-2</v>
      </c>
      <c r="L7" s="160">
        <v>5.4100000000000003E-4</v>
      </c>
      <c r="M7" s="161">
        <f t="shared" si="0"/>
        <v>3.0159999999999999E-2</v>
      </c>
      <c r="N7" s="161">
        <f t="shared" si="1"/>
        <v>2.9929999999999991E-3</v>
      </c>
      <c r="O7" s="121">
        <f t="shared" si="2"/>
        <v>9.923740053050395E-2</v>
      </c>
      <c r="P7" s="162">
        <f>IF(E7="Hardox 450",INDEX('Sac Parametreleri'!$G$11:$G$24,MATCH(F7,'Sac Parametreleri'!$A$11:$A$24,0)),INDEX('Sac Parametreleri'!$E$11:$E$24,MATCH(F7,'Sac Parametreleri'!$A$11:$A$24,0)))</f>
        <v>62.800000000000004</v>
      </c>
      <c r="Q7" s="162">
        <f>INDEX('Sac Parametreleri'!$F$11:$F$24,MATCH(F7,'Sac Parametreleri'!$A$11:$A$24,0))</f>
        <v>25.690909090909091</v>
      </c>
      <c r="R7" s="163">
        <f t="shared" si="3"/>
        <v>1.8171551090909093</v>
      </c>
      <c r="S7" s="163">
        <f t="shared" si="4"/>
        <v>1.8171551090909093</v>
      </c>
      <c r="T7" s="122">
        <f>K7*F7*'Sac Parametreleri'!$B$6*G7</f>
        <v>2.1326095</v>
      </c>
      <c r="U7" s="122">
        <f>N7*F7*'Sac Parametreleri'!$B$6*G7</f>
        <v>0.23495049999999992</v>
      </c>
      <c r="V7" s="122">
        <f>M7*F7*'Sac Parametreleri'!$B$6*G7</f>
        <v>2.3675599999999997</v>
      </c>
      <c r="W7" s="118" t="s">
        <v>85</v>
      </c>
    </row>
    <row r="8" spans="1:24" ht="15" customHeight="1" x14ac:dyDescent="0.25">
      <c r="A8" s="118" t="s">
        <v>97</v>
      </c>
      <c r="B8" s="118">
        <v>1</v>
      </c>
      <c r="C8" s="118" t="s">
        <v>1557</v>
      </c>
      <c r="D8" s="118" t="s">
        <v>1558</v>
      </c>
      <c r="E8" s="118" t="s">
        <v>1552</v>
      </c>
      <c r="F8" s="118">
        <v>5</v>
      </c>
      <c r="G8" s="118">
        <v>1</v>
      </c>
      <c r="H8" s="118" t="s">
        <v>1551</v>
      </c>
      <c r="I8" s="159">
        <v>1238.3</v>
      </c>
      <c r="J8" s="159">
        <v>973.5</v>
      </c>
      <c r="K8" s="160">
        <v>0.40365299999999998</v>
      </c>
      <c r="L8" s="160">
        <v>0.206789</v>
      </c>
      <c r="M8" s="161">
        <f t="shared" si="0"/>
        <v>1.2054850500000001</v>
      </c>
      <c r="N8" s="161">
        <f t="shared" si="1"/>
        <v>0.80183205000000002</v>
      </c>
      <c r="O8" s="121">
        <f t="shared" si="2"/>
        <v>0.66515304358191751</v>
      </c>
      <c r="P8" s="162">
        <f>IF(E8="Hardox 450",INDEX('Sac Parametreleri'!$G$11:$G$24,MATCH(F8,'Sac Parametreleri'!$A$11:$A$24,0)),INDEX('Sac Parametreleri'!$E$11:$E$24,MATCH(F8,'Sac Parametreleri'!$A$11:$A$24,0)))</f>
        <v>31.400000000000002</v>
      </c>
      <c r="Q8" s="162">
        <f>INDEX('Sac Parametreleri'!$F$11:$F$24,MATCH(F8,'Sac Parametreleri'!$A$11:$A$24,0))</f>
        <v>12.845454545454546</v>
      </c>
      <c r="R8" s="163">
        <f t="shared" si="3"/>
        <v>27.552333418636366</v>
      </c>
      <c r="S8" s="163">
        <f t="shared" si="4"/>
        <v>27.552333418636366</v>
      </c>
      <c r="T8" s="122">
        <f>K8*F8*'Sac Parametreleri'!$B$6*G8</f>
        <v>15.843380249999999</v>
      </c>
      <c r="U8" s="122">
        <f>N8*F8*'Sac Parametreleri'!$B$6*G8</f>
        <v>31.471907962499998</v>
      </c>
      <c r="V8" s="122">
        <f>M8*F8*'Sac Parametreleri'!$B$6*G8</f>
        <v>47.3152882125</v>
      </c>
      <c r="W8" s="118" t="s">
        <v>85</v>
      </c>
    </row>
    <row r="9" spans="1:24" ht="15" customHeight="1" x14ac:dyDescent="0.25">
      <c r="A9" s="118" t="s">
        <v>97</v>
      </c>
      <c r="B9" s="118">
        <v>2</v>
      </c>
      <c r="C9" s="118" t="s">
        <v>1559</v>
      </c>
      <c r="D9" s="118" t="s">
        <v>1558</v>
      </c>
      <c r="E9" s="118" t="s">
        <v>1552</v>
      </c>
      <c r="F9" s="118">
        <v>5</v>
      </c>
      <c r="G9" s="118">
        <v>1</v>
      </c>
      <c r="H9" s="118" t="s">
        <v>1551</v>
      </c>
      <c r="I9" s="159">
        <v>1237.3</v>
      </c>
      <c r="J9" s="159">
        <v>973.5</v>
      </c>
      <c r="K9" s="160">
        <v>0.37797900000000001</v>
      </c>
      <c r="L9" s="160">
        <v>0.12116300000000001</v>
      </c>
      <c r="M9" s="161">
        <f t="shared" si="0"/>
        <v>1.2045115500000001</v>
      </c>
      <c r="N9" s="161">
        <f t="shared" si="1"/>
        <v>0.82653255000000003</v>
      </c>
      <c r="O9" s="121">
        <f t="shared" si="2"/>
        <v>0.68619728054911555</v>
      </c>
      <c r="P9" s="162">
        <f>IF(E9="Hardox 450",INDEX('Sac Parametreleri'!$G$11:$G$24,MATCH(F9,'Sac Parametreleri'!$A$11:$A$24,0)),INDEX('Sac Parametreleri'!$E$11:$E$24,MATCH(F9,'Sac Parametreleri'!$A$11:$A$24,0)))</f>
        <v>31.400000000000002</v>
      </c>
      <c r="Q9" s="162">
        <f>INDEX('Sac Parametreleri'!$F$11:$F$24,MATCH(F9,'Sac Parametreleri'!$A$11:$A$24,0))</f>
        <v>12.845454545454546</v>
      </c>
      <c r="R9" s="163">
        <f t="shared" si="3"/>
        <v>27.204476368636371</v>
      </c>
      <c r="S9" s="163">
        <f t="shared" si="4"/>
        <v>27.204476368636371</v>
      </c>
      <c r="T9" s="122">
        <f>K9*F9*'Sac Parametreleri'!$B$6*G9</f>
        <v>14.83567575</v>
      </c>
      <c r="U9" s="122">
        <f>N9*F9*'Sac Parametreleri'!$B$6*G9</f>
        <v>32.441402587499994</v>
      </c>
      <c r="V9" s="122">
        <f>M9*F9*'Sac Parametreleri'!$B$6*G9</f>
        <v>47.277078337500001</v>
      </c>
      <c r="W9" s="118" t="s">
        <v>85</v>
      </c>
    </row>
    <row r="10" spans="1:24" ht="15" customHeight="1" x14ac:dyDescent="0.25">
      <c r="A10" s="118" t="s">
        <v>97</v>
      </c>
      <c r="B10" s="118">
        <v>3</v>
      </c>
      <c r="C10" s="118" t="s">
        <v>710</v>
      </c>
      <c r="D10" s="118" t="s">
        <v>711</v>
      </c>
      <c r="E10" s="118" t="s">
        <v>1552</v>
      </c>
      <c r="F10" s="118">
        <v>5</v>
      </c>
      <c r="G10" s="118">
        <v>1</v>
      </c>
      <c r="H10" s="118" t="s">
        <v>1560</v>
      </c>
      <c r="I10" s="159">
        <v>1316.8</v>
      </c>
      <c r="J10" s="159">
        <v>140</v>
      </c>
      <c r="K10" s="160">
        <v>0.18015700000000001</v>
      </c>
      <c r="L10" s="160">
        <v>3.4160000000000002E-3</v>
      </c>
      <c r="M10" s="161">
        <f t="shared" si="0"/>
        <v>0.18435199999999999</v>
      </c>
      <c r="N10" s="161">
        <f t="shared" si="1"/>
        <v>4.1949999999999765E-3</v>
      </c>
      <c r="O10" s="121">
        <f t="shared" si="2"/>
        <v>2.2755381010241153E-2</v>
      </c>
      <c r="P10" s="162">
        <f>IF(E10="Hardox 450",INDEX('Sac Parametreleri'!$G$11:$G$24,MATCH(F10,'Sac Parametreleri'!$A$11:$A$24,0)),INDEX('Sac Parametreleri'!$E$11:$E$24,MATCH(F10,'Sac Parametreleri'!$A$11:$A$24,0)))</f>
        <v>31.400000000000002</v>
      </c>
      <c r="Q10" s="162">
        <f>INDEX('Sac Parametreleri'!$F$11:$F$24,MATCH(F10,'Sac Parametreleri'!$A$11:$A$24,0))</f>
        <v>12.845454545454546</v>
      </c>
      <c r="R10" s="163">
        <f t="shared" si="3"/>
        <v>5.7347661181818186</v>
      </c>
      <c r="S10" s="163">
        <f t="shared" si="4"/>
        <v>5.7347661181818186</v>
      </c>
      <c r="T10" s="122">
        <f>K10*F10*'Sac Parametreleri'!$B$6*G10</f>
        <v>7.0711622500000004</v>
      </c>
      <c r="U10" s="122">
        <f>N10*F10*'Sac Parametreleri'!$B$6*G10</f>
        <v>0.16465374999999907</v>
      </c>
      <c r="V10" s="122">
        <f>M10*F10*'Sac Parametreleri'!$B$6*G10</f>
        <v>7.2358159999999989</v>
      </c>
      <c r="W10" s="118" t="s">
        <v>85</v>
      </c>
    </row>
    <row r="11" spans="1:24" ht="15" customHeight="1" x14ac:dyDescent="0.25">
      <c r="A11" s="118" t="s">
        <v>97</v>
      </c>
      <c r="B11" s="118">
        <v>4</v>
      </c>
      <c r="C11" s="118" t="s">
        <v>712</v>
      </c>
      <c r="D11" s="118" t="s">
        <v>713</v>
      </c>
      <c r="E11" s="118" t="s">
        <v>1552</v>
      </c>
      <c r="F11" s="118">
        <v>5</v>
      </c>
      <c r="G11" s="118">
        <v>1</v>
      </c>
      <c r="H11" s="118" t="s">
        <v>1560</v>
      </c>
      <c r="I11" s="159">
        <v>1269.2</v>
      </c>
      <c r="J11" s="159">
        <v>140</v>
      </c>
      <c r="K11" s="160">
        <v>0.159248</v>
      </c>
      <c r="L11" s="160">
        <v>1.7656999999999999E-2</v>
      </c>
      <c r="M11" s="161">
        <f t="shared" si="0"/>
        <v>0.17768800000000001</v>
      </c>
      <c r="N11" s="161">
        <f t="shared" si="1"/>
        <v>1.8440000000000012E-2</v>
      </c>
      <c r="O11" s="121">
        <f t="shared" si="2"/>
        <v>0.10377740759083343</v>
      </c>
      <c r="P11" s="162">
        <f>IF(E11="Hardox 450",INDEX('Sac Parametreleri'!$G$11:$G$24,MATCH(F11,'Sac Parametreleri'!$A$11:$A$24,0)),INDEX('Sac Parametreleri'!$E$11:$E$24,MATCH(F11,'Sac Parametreleri'!$A$11:$A$24,0)))</f>
        <v>31.400000000000002</v>
      </c>
      <c r="Q11" s="162">
        <f>INDEX('Sac Parametreleri'!$F$11:$F$24,MATCH(F11,'Sac Parametreleri'!$A$11:$A$24,0))</f>
        <v>12.845454545454546</v>
      </c>
      <c r="R11" s="163">
        <f t="shared" si="3"/>
        <v>5.3425330181818182</v>
      </c>
      <c r="S11" s="163">
        <f t="shared" si="4"/>
        <v>5.3425330181818182</v>
      </c>
      <c r="T11" s="122">
        <f>K11*F11*'Sac Parametreleri'!$B$6*G11</f>
        <v>6.2504840000000002</v>
      </c>
      <c r="U11" s="122">
        <f>N11*F11*'Sac Parametreleri'!$B$6*G11</f>
        <v>0.72377000000000047</v>
      </c>
      <c r="V11" s="122">
        <f>M11*F11*'Sac Parametreleri'!$B$6*G11</f>
        <v>6.9742540000000002</v>
      </c>
      <c r="W11" s="118" t="s">
        <v>85</v>
      </c>
    </row>
    <row r="12" spans="1:24" ht="15" customHeight="1" x14ac:dyDescent="0.25">
      <c r="A12" s="118" t="s">
        <v>97</v>
      </c>
      <c r="B12" s="118">
        <v>5</v>
      </c>
      <c r="C12" s="118" t="s">
        <v>714</v>
      </c>
      <c r="D12" s="118" t="s">
        <v>715</v>
      </c>
      <c r="E12" s="118" t="s">
        <v>1552</v>
      </c>
      <c r="F12" s="118">
        <v>5</v>
      </c>
      <c r="G12" s="118">
        <v>1</v>
      </c>
      <c r="H12" s="118" t="s">
        <v>1554</v>
      </c>
      <c r="I12" s="159">
        <v>1791.1</v>
      </c>
      <c r="J12" s="159">
        <v>122</v>
      </c>
      <c r="K12" s="160">
        <v>0.15792900000000001</v>
      </c>
      <c r="L12" s="160">
        <v>4.5733000000000003E-2</v>
      </c>
      <c r="M12" s="161">
        <f t="shared" si="0"/>
        <v>0.21851419999999999</v>
      </c>
      <c r="N12" s="161">
        <f t="shared" si="1"/>
        <v>6.0585199999999978E-2</v>
      </c>
      <c r="O12" s="121">
        <f t="shared" si="2"/>
        <v>0.27725978448997812</v>
      </c>
      <c r="P12" s="162">
        <f>IF(E12="Hardox 450",INDEX('Sac Parametreleri'!$G$11:$G$24,MATCH(F12,'Sac Parametreleri'!$A$11:$A$24,0)),INDEX('Sac Parametreleri'!$E$11:$E$24,MATCH(F12,'Sac Parametreleri'!$A$11:$A$24,0)))</f>
        <v>31.400000000000002</v>
      </c>
      <c r="Q12" s="162">
        <f>INDEX('Sac Parametreleri'!$F$11:$F$24,MATCH(F12,'Sac Parametreleri'!$A$11:$A$24,0))</f>
        <v>12.845454545454546</v>
      </c>
      <c r="R12" s="163">
        <f t="shared" si="3"/>
        <v>6.0831014472727274</v>
      </c>
      <c r="S12" s="163">
        <f t="shared" si="4"/>
        <v>6.0831014472727274</v>
      </c>
      <c r="T12" s="122">
        <f>K12*F12*'Sac Parametreleri'!$B$6*G12</f>
        <v>6.19871325</v>
      </c>
      <c r="U12" s="122">
        <f>N12*F12*'Sac Parametreleri'!$B$6*G12</f>
        <v>2.3779690999999992</v>
      </c>
      <c r="V12" s="122">
        <f>M12*F12*'Sac Parametreleri'!$B$6*G12</f>
        <v>8.5766823499999987</v>
      </c>
      <c r="W12" s="118" t="s">
        <v>85</v>
      </c>
    </row>
    <row r="13" spans="1:24" ht="15" customHeight="1" x14ac:dyDescent="0.25">
      <c r="A13" s="118" t="s">
        <v>97</v>
      </c>
      <c r="B13" s="118">
        <v>6</v>
      </c>
      <c r="C13" s="118" t="s">
        <v>716</v>
      </c>
      <c r="D13" s="118" t="s">
        <v>717</v>
      </c>
      <c r="E13" s="118" t="s">
        <v>1552</v>
      </c>
      <c r="F13" s="118">
        <v>5</v>
      </c>
      <c r="G13" s="118">
        <v>1</v>
      </c>
      <c r="H13" s="118" t="s">
        <v>1554</v>
      </c>
      <c r="I13" s="159">
        <v>1147</v>
      </c>
      <c r="J13" s="159">
        <v>140</v>
      </c>
      <c r="K13" s="160">
        <v>0.15897900000000001</v>
      </c>
      <c r="L13" s="160">
        <v>1.6080000000000001E-3</v>
      </c>
      <c r="M13" s="161">
        <f t="shared" si="0"/>
        <v>0.16058</v>
      </c>
      <c r="N13" s="161">
        <f t="shared" si="1"/>
        <v>1.6009999999999913E-3</v>
      </c>
      <c r="O13" s="121">
        <f t="shared" si="2"/>
        <v>9.9701083572050781E-3</v>
      </c>
      <c r="P13" s="162">
        <f>IF(E13="Hardox 450",INDEX('Sac Parametreleri'!$G$11:$G$24,MATCH(F13,'Sac Parametreleri'!$A$11:$A$24,0)),INDEX('Sac Parametreleri'!$E$11:$E$24,MATCH(F13,'Sac Parametreleri'!$A$11:$A$24,0)))</f>
        <v>31.400000000000002</v>
      </c>
      <c r="Q13" s="162">
        <f>INDEX('Sac Parametreleri'!$F$11:$F$24,MATCH(F13,'Sac Parametreleri'!$A$11:$A$24,0))</f>
        <v>12.845454545454546</v>
      </c>
      <c r="R13" s="163">
        <f t="shared" si="3"/>
        <v>5.0216464272727279</v>
      </c>
      <c r="S13" s="163">
        <f t="shared" si="4"/>
        <v>5.0216464272727279</v>
      </c>
      <c r="T13" s="122">
        <f>K13*F13*'Sac Parametreleri'!$B$6*G13</f>
        <v>6.2399257500000003</v>
      </c>
      <c r="U13" s="122">
        <f>N13*F13*'Sac Parametreleri'!$B$6*G13</f>
        <v>6.2839249999999652E-2</v>
      </c>
      <c r="V13" s="122">
        <f>M13*F13*'Sac Parametreleri'!$B$6*G13</f>
        <v>6.3027649999999991</v>
      </c>
      <c r="W13" s="118" t="s">
        <v>85</v>
      </c>
    </row>
    <row r="14" spans="1:24" ht="15" customHeight="1" x14ac:dyDescent="0.25">
      <c r="A14" s="118" t="s">
        <v>97</v>
      </c>
      <c r="B14" s="118">
        <v>7</v>
      </c>
      <c r="C14" s="118" t="s">
        <v>1561</v>
      </c>
      <c r="D14" s="118" t="s">
        <v>1562</v>
      </c>
      <c r="E14" s="118" t="s">
        <v>1552</v>
      </c>
      <c r="F14" s="118">
        <v>12</v>
      </c>
      <c r="G14" s="118">
        <v>2</v>
      </c>
      <c r="H14" s="118" t="s">
        <v>1551</v>
      </c>
      <c r="I14" s="159">
        <v>220</v>
      </c>
      <c r="J14" s="159">
        <v>140</v>
      </c>
      <c r="K14" s="160">
        <v>2.9749000000000001E-2</v>
      </c>
      <c r="L14" s="160">
        <v>9.41E-4</v>
      </c>
      <c r="M14" s="161">
        <f t="shared" si="0"/>
        <v>3.0800000000000001E-2</v>
      </c>
      <c r="N14" s="161">
        <f t="shared" si="1"/>
        <v>1.0509999999999999E-3</v>
      </c>
      <c r="O14" s="121">
        <f t="shared" si="2"/>
        <v>3.4123376623376618E-2</v>
      </c>
      <c r="P14" s="162">
        <f>IF(E14="Hardox 450",INDEX('Sac Parametreleri'!$G$11:$G$24,MATCH(F14,'Sac Parametreleri'!$A$11:$A$24,0)),INDEX('Sac Parametreleri'!$E$11:$E$24,MATCH(F14,'Sac Parametreleri'!$A$11:$A$24,0)))</f>
        <v>75.36</v>
      </c>
      <c r="Q14" s="162">
        <f>INDEX('Sac Parametreleri'!$F$11:$F$24,MATCH(F14,'Sac Parametreleri'!$A$11:$A$24,0))</f>
        <v>30.829090909090905</v>
      </c>
      <c r="R14" s="163">
        <f t="shared" si="3"/>
        <v>2.2886866254545457</v>
      </c>
      <c r="S14" s="163">
        <f t="shared" si="4"/>
        <v>4.5773732509090914</v>
      </c>
      <c r="T14" s="122">
        <f>K14*F14*'Sac Parametreleri'!$B$6*G14</f>
        <v>5.6047115999999999</v>
      </c>
      <c r="U14" s="122">
        <f>N14*F14*'Sac Parametreleri'!$B$6*G14</f>
        <v>0.19800839999999997</v>
      </c>
      <c r="V14" s="122">
        <f>M14*F14*'Sac Parametreleri'!$B$6*G14</f>
        <v>5.8027200000000008</v>
      </c>
      <c r="W14" s="118" t="s">
        <v>85</v>
      </c>
    </row>
    <row r="15" spans="1:24" ht="15" customHeight="1" x14ac:dyDescent="0.25">
      <c r="A15" s="118" t="s">
        <v>179</v>
      </c>
      <c r="B15" s="118">
        <v>1</v>
      </c>
      <c r="C15" s="118" t="s">
        <v>1563</v>
      </c>
      <c r="D15" s="118" t="s">
        <v>705</v>
      </c>
      <c r="E15" s="118" t="s">
        <v>1552</v>
      </c>
      <c r="F15" s="118">
        <v>5</v>
      </c>
      <c r="G15" s="118">
        <v>1</v>
      </c>
      <c r="H15" s="118" t="s">
        <v>1551</v>
      </c>
      <c r="I15" s="159">
        <v>1087.7</v>
      </c>
      <c r="J15" s="159">
        <v>949.5</v>
      </c>
      <c r="K15" s="160">
        <v>0.37254599999999999</v>
      </c>
      <c r="L15" s="160">
        <v>0.164965</v>
      </c>
      <c r="M15" s="161">
        <f t="shared" si="0"/>
        <v>1.0327711500000001</v>
      </c>
      <c r="N15" s="161">
        <f t="shared" si="1"/>
        <v>0.66022515000000004</v>
      </c>
      <c r="O15" s="121">
        <f t="shared" si="2"/>
        <v>0.63927536124532525</v>
      </c>
      <c r="P15" s="162">
        <f>IF(E15="Hardox 450",INDEX('Sac Parametreleri'!$G$11:$G$24,MATCH(F15,'Sac Parametreleri'!$A$11:$A$24,0)),INDEX('Sac Parametreleri'!$E$11:$E$24,MATCH(F15,'Sac Parametreleri'!$A$11:$A$24,0)))</f>
        <v>31.400000000000002</v>
      </c>
      <c r="Q15" s="162">
        <f>INDEX('Sac Parametreleri'!$F$11:$F$24,MATCH(F15,'Sac Parametreleri'!$A$11:$A$24,0))</f>
        <v>12.845454545454546</v>
      </c>
      <c r="R15" s="163">
        <f t="shared" si="3"/>
        <v>23.948121955909095</v>
      </c>
      <c r="S15" s="163">
        <f t="shared" si="4"/>
        <v>23.948121955909095</v>
      </c>
      <c r="T15" s="122">
        <f>K15*F15*'Sac Parametreleri'!$B$6*G15</f>
        <v>14.6224305</v>
      </c>
      <c r="U15" s="122">
        <f>N15*F15*'Sac Parametreleri'!$B$6*G15</f>
        <v>25.9138371375</v>
      </c>
      <c r="V15" s="122">
        <f>M15*F15*'Sac Parametreleri'!$B$6*G15</f>
        <v>40.536267637500004</v>
      </c>
      <c r="W15" s="118" t="s">
        <v>85</v>
      </c>
    </row>
    <row r="16" spans="1:24" ht="15" customHeight="1" x14ac:dyDescent="0.25">
      <c r="A16" s="118" t="s">
        <v>179</v>
      </c>
      <c r="B16" s="118">
        <v>2</v>
      </c>
      <c r="C16" s="118" t="s">
        <v>1564</v>
      </c>
      <c r="D16" s="118" t="s">
        <v>705</v>
      </c>
      <c r="E16" s="118" t="s">
        <v>1552</v>
      </c>
      <c r="F16" s="118">
        <v>5</v>
      </c>
      <c r="G16" s="118">
        <v>1</v>
      </c>
      <c r="H16" s="118" t="s">
        <v>1551</v>
      </c>
      <c r="I16" s="159">
        <v>1087.7</v>
      </c>
      <c r="J16" s="159">
        <v>949.5</v>
      </c>
      <c r="K16" s="160">
        <v>0.35197699999999998</v>
      </c>
      <c r="L16" s="160">
        <v>5.6644E-2</v>
      </c>
      <c r="M16" s="161">
        <f t="shared" si="0"/>
        <v>1.0327711500000001</v>
      </c>
      <c r="N16" s="161">
        <f t="shared" si="1"/>
        <v>0.6807941500000001</v>
      </c>
      <c r="O16" s="121">
        <f t="shared" si="2"/>
        <v>0.65919168055769184</v>
      </c>
      <c r="P16" s="162">
        <f>IF(E16="Hardox 450",INDEX('Sac Parametreleri'!$G$11:$G$24,MATCH(F16,'Sac Parametreleri'!$A$11:$A$24,0)),INDEX('Sac Parametreleri'!$E$11:$E$24,MATCH(F16,'Sac Parametreleri'!$A$11:$A$24,0)))</f>
        <v>31.400000000000002</v>
      </c>
      <c r="Q16" s="162">
        <f>INDEX('Sac Parametreleri'!$F$11:$F$24,MATCH(F16,'Sac Parametreleri'!$A$11:$A$24,0))</f>
        <v>12.845454545454546</v>
      </c>
      <c r="R16" s="163">
        <f t="shared" si="3"/>
        <v>23.683903801363641</v>
      </c>
      <c r="S16" s="163">
        <f t="shared" si="4"/>
        <v>23.683903801363641</v>
      </c>
      <c r="T16" s="122">
        <f>K16*F16*'Sac Parametreleri'!$B$6*G16</f>
        <v>13.815097249999999</v>
      </c>
      <c r="U16" s="122">
        <f>N16*F16*'Sac Parametreleri'!$B$6*G16</f>
        <v>26.721170387500003</v>
      </c>
      <c r="V16" s="122">
        <f>M16*F16*'Sac Parametreleri'!$B$6*G16</f>
        <v>40.536267637500004</v>
      </c>
      <c r="W16" s="118" t="s">
        <v>85</v>
      </c>
    </row>
    <row r="17" spans="1:24" ht="15" customHeight="1" x14ac:dyDescent="0.25">
      <c r="A17" s="118" t="s">
        <v>179</v>
      </c>
      <c r="B17" s="118">
        <v>3</v>
      </c>
      <c r="C17" s="118" t="s">
        <v>704</v>
      </c>
      <c r="D17" s="118" t="s">
        <v>705</v>
      </c>
      <c r="E17" s="118" t="s">
        <v>1552</v>
      </c>
      <c r="F17" s="118">
        <v>5</v>
      </c>
      <c r="G17" s="118">
        <v>1</v>
      </c>
      <c r="H17" s="118" t="s">
        <v>1560</v>
      </c>
      <c r="I17" s="159">
        <v>1155.8</v>
      </c>
      <c r="J17" s="159">
        <v>140</v>
      </c>
      <c r="K17" s="160">
        <v>0.148975</v>
      </c>
      <c r="L17" s="160">
        <v>1.2062E-2</v>
      </c>
      <c r="M17" s="161">
        <f t="shared" si="0"/>
        <v>0.16181200000000001</v>
      </c>
      <c r="N17" s="161">
        <f t="shared" si="1"/>
        <v>1.2837000000000015E-2</v>
      </c>
      <c r="O17" s="121">
        <f t="shared" si="2"/>
        <v>7.9332805972363071E-2</v>
      </c>
      <c r="P17" s="162">
        <f>IF(E17="Hardox 450",INDEX('Sac Parametreleri'!$G$11:$G$24,MATCH(F17,'Sac Parametreleri'!$A$11:$A$24,0)),INDEX('Sac Parametreleri'!$E$11:$E$24,MATCH(F17,'Sac Parametreleri'!$A$11:$A$24,0)))</f>
        <v>31.400000000000002</v>
      </c>
      <c r="Q17" s="162">
        <f>INDEX('Sac Parametreleri'!$F$11:$F$24,MATCH(F17,'Sac Parametreleri'!$A$11:$A$24,0))</f>
        <v>12.845454545454546</v>
      </c>
      <c r="R17" s="163">
        <f t="shared" si="3"/>
        <v>4.9159997000000004</v>
      </c>
      <c r="S17" s="163">
        <f t="shared" si="4"/>
        <v>4.9159997000000004</v>
      </c>
      <c r="T17" s="122">
        <f>K17*F17*'Sac Parametreleri'!$B$6*G17</f>
        <v>5.8472687499999996</v>
      </c>
      <c r="U17" s="122">
        <f>N17*F17*'Sac Parametreleri'!$B$6*G17</f>
        <v>0.50385225000000056</v>
      </c>
      <c r="V17" s="122">
        <f>M17*F17*'Sac Parametreleri'!$B$6*G17</f>
        <v>6.3511210000000009</v>
      </c>
      <c r="W17" s="118" t="s">
        <v>85</v>
      </c>
    </row>
    <row r="18" spans="1:24" ht="15" customHeight="1" x14ac:dyDescent="0.25">
      <c r="A18" s="118" t="s">
        <v>179</v>
      </c>
      <c r="B18" s="118">
        <v>4</v>
      </c>
      <c r="C18" s="118" t="s">
        <v>706</v>
      </c>
      <c r="D18" s="118" t="s">
        <v>705</v>
      </c>
      <c r="E18" s="118" t="s">
        <v>1552</v>
      </c>
      <c r="F18" s="118">
        <v>5</v>
      </c>
      <c r="G18" s="118">
        <v>1</v>
      </c>
      <c r="H18" s="118" t="s">
        <v>1560</v>
      </c>
      <c r="I18" s="159">
        <v>1114.9000000000001</v>
      </c>
      <c r="J18" s="159">
        <v>140</v>
      </c>
      <c r="K18" s="160">
        <v>0.13834299999999999</v>
      </c>
      <c r="L18" s="160">
        <v>1.6959999999999999E-2</v>
      </c>
      <c r="M18" s="161">
        <f t="shared" si="0"/>
        <v>0.156086</v>
      </c>
      <c r="N18" s="161">
        <f t="shared" si="1"/>
        <v>1.7743000000000009E-2</v>
      </c>
      <c r="O18" s="121">
        <f t="shared" si="2"/>
        <v>0.11367451276860198</v>
      </c>
      <c r="P18" s="162">
        <f>IF(E18="Hardox 450",INDEX('Sac Parametreleri'!$G$11:$G$24,MATCH(F18,'Sac Parametreleri'!$A$11:$A$24,0)),INDEX('Sac Parametreleri'!$E$11:$E$24,MATCH(F18,'Sac Parametreleri'!$A$11:$A$24,0)))</f>
        <v>31.400000000000002</v>
      </c>
      <c r="Q18" s="162">
        <f>INDEX('Sac Parametreleri'!$F$11:$F$24,MATCH(F18,'Sac Parametreleri'!$A$11:$A$24,0))</f>
        <v>12.845454545454546</v>
      </c>
      <c r="R18" s="163">
        <f t="shared" si="3"/>
        <v>4.6731835000000004</v>
      </c>
      <c r="S18" s="163">
        <f t="shared" si="4"/>
        <v>4.6731835000000004</v>
      </c>
      <c r="T18" s="122">
        <f>K18*F18*'Sac Parametreleri'!$B$6*G18</f>
        <v>5.4299627499999996</v>
      </c>
      <c r="U18" s="122">
        <f>N18*F18*'Sac Parametreleri'!$B$6*G18</f>
        <v>0.69641275000000036</v>
      </c>
      <c r="V18" s="122">
        <f>M18*F18*'Sac Parametreleri'!$B$6*G18</f>
        <v>6.1263754999999991</v>
      </c>
      <c r="W18" s="118" t="s">
        <v>85</v>
      </c>
    </row>
    <row r="19" spans="1:24" ht="15" customHeight="1" x14ac:dyDescent="0.25">
      <c r="A19" s="118" t="s">
        <v>179</v>
      </c>
      <c r="B19" s="118">
        <v>5</v>
      </c>
      <c r="C19" s="118" t="s">
        <v>1561</v>
      </c>
      <c r="D19" s="118" t="s">
        <v>1565</v>
      </c>
      <c r="E19" s="118" t="s">
        <v>1552</v>
      </c>
      <c r="F19" s="118">
        <v>12</v>
      </c>
      <c r="G19" s="118">
        <v>2</v>
      </c>
      <c r="H19" s="118" t="s">
        <v>1551</v>
      </c>
      <c r="I19" s="159">
        <v>220</v>
      </c>
      <c r="J19" s="159">
        <v>140</v>
      </c>
      <c r="K19" s="160">
        <v>2.9763000000000001E-2</v>
      </c>
      <c r="L19" s="160">
        <v>9.3999999999999997E-4</v>
      </c>
      <c r="M19" s="161">
        <f t="shared" si="0"/>
        <v>3.0800000000000001E-2</v>
      </c>
      <c r="N19" s="161">
        <f t="shared" si="1"/>
        <v>1.0369999999999997E-3</v>
      </c>
      <c r="O19" s="121">
        <f t="shared" si="2"/>
        <v>3.3668831168831161E-2</v>
      </c>
      <c r="P19" s="162">
        <f>IF(E19="Hardox 450",INDEX('Sac Parametreleri'!$G$11:$G$24,MATCH(F19,'Sac Parametreleri'!$A$11:$A$24,0)),INDEX('Sac Parametreleri'!$E$11:$E$24,MATCH(F19,'Sac Parametreleri'!$A$11:$A$24,0)))</f>
        <v>75.36</v>
      </c>
      <c r="Q19" s="162">
        <f>INDEX('Sac Parametreleri'!$F$11:$F$24,MATCH(F19,'Sac Parametreleri'!$A$11:$A$24,0))</f>
        <v>30.829090909090905</v>
      </c>
      <c r="R19" s="163">
        <f t="shared" si="3"/>
        <v>2.2891182327272728</v>
      </c>
      <c r="S19" s="163">
        <f t="shared" si="4"/>
        <v>4.5782364654545455</v>
      </c>
      <c r="T19" s="122">
        <f>K19*F19*'Sac Parametreleri'!$B$6*G19</f>
        <v>5.6073491999999998</v>
      </c>
      <c r="U19" s="122">
        <f>N19*F19*'Sac Parametreleri'!$B$6*G19</f>
        <v>0.19537079999999993</v>
      </c>
      <c r="V19" s="122">
        <f>M19*F19*'Sac Parametreleri'!$B$6*G19</f>
        <v>5.8027200000000008</v>
      </c>
      <c r="W19" s="118" t="s">
        <v>85</v>
      </c>
    </row>
    <row r="20" spans="1:24" ht="32.25" customHeight="1" x14ac:dyDescent="0.25">
      <c r="A20" s="125" t="s">
        <v>179</v>
      </c>
      <c r="B20" s="125">
        <v>6</v>
      </c>
      <c r="C20" s="125" t="s">
        <v>805</v>
      </c>
      <c r="D20" s="125" t="s">
        <v>1566</v>
      </c>
      <c r="E20" s="125" t="s">
        <v>1552</v>
      </c>
      <c r="F20" s="125">
        <v>5</v>
      </c>
      <c r="G20" s="125">
        <v>1</v>
      </c>
      <c r="H20" s="125" t="s">
        <v>1554</v>
      </c>
      <c r="I20" s="164">
        <v>1165.9000000000001</v>
      </c>
      <c r="J20" s="164">
        <v>140</v>
      </c>
      <c r="K20" s="165">
        <v>0.16223099999999999</v>
      </c>
      <c r="L20" s="165">
        <v>9.9200000000000004E-4</v>
      </c>
      <c r="M20" s="166">
        <f t="shared" si="0"/>
        <v>0.16322600000000001</v>
      </c>
      <c r="N20" s="166">
        <f t="shared" si="1"/>
        <v>9.9500000000002364E-4</v>
      </c>
      <c r="O20" s="128">
        <f t="shared" si="2"/>
        <v>6.0958425740998586E-3</v>
      </c>
      <c r="P20" s="167">
        <f>IF(E20="Hardox 450",INDEX('Sac Parametreleri'!$G$11:$G$24,MATCH(F20,'Sac Parametreleri'!$A$11:$A$24,0)),INDEX('Sac Parametreleri'!$E$11:$E$24,MATCH(F20,'Sac Parametreleri'!$A$11:$A$24,0)))</f>
        <v>31.400000000000002</v>
      </c>
      <c r="Q20" s="167">
        <f>INDEX('Sac Parametreleri'!$F$11:$F$24,MATCH(F20,'Sac Parametreleri'!$A$11:$A$24,0))</f>
        <v>12.845454545454546</v>
      </c>
      <c r="R20" s="168">
        <f t="shared" si="3"/>
        <v>5.1125151727272735</v>
      </c>
      <c r="S20" s="168">
        <f t="shared" si="4"/>
        <v>5.1125151727272735</v>
      </c>
      <c r="T20" s="129">
        <f>K20*F20*'Sac Parametreleri'!$B$6*G20</f>
        <v>6.3675667499999991</v>
      </c>
      <c r="U20" s="129">
        <f>N20*F20*'Sac Parametreleri'!$B$6*G20</f>
        <v>3.9053750000000928E-2</v>
      </c>
      <c r="V20" s="129">
        <f>M20*F20*'Sac Parametreleri'!$B$6*G20</f>
        <v>6.4066204999999998</v>
      </c>
      <c r="W20" s="125" t="s">
        <v>85</v>
      </c>
      <c r="X20" s="169" t="s">
        <v>1567</v>
      </c>
    </row>
    <row r="21" spans="1:24" ht="15" customHeight="1" x14ac:dyDescent="0.25">
      <c r="A21" s="118" t="s">
        <v>179</v>
      </c>
      <c r="B21" s="118">
        <v>7</v>
      </c>
      <c r="C21" s="118" t="s">
        <v>708</v>
      </c>
      <c r="D21" s="118" t="s">
        <v>709</v>
      </c>
      <c r="E21" s="118" t="s">
        <v>1552</v>
      </c>
      <c r="F21" s="118">
        <v>5</v>
      </c>
      <c r="G21" s="118">
        <v>1</v>
      </c>
      <c r="H21" s="118" t="s">
        <v>1568</v>
      </c>
      <c r="I21" s="159">
        <v>1675.6</v>
      </c>
      <c r="J21" s="159">
        <v>114</v>
      </c>
      <c r="K21" s="160">
        <v>0.14424200000000001</v>
      </c>
      <c r="L21" s="160">
        <v>4.5699999999999998E-2</v>
      </c>
      <c r="M21" s="161">
        <f t="shared" si="0"/>
        <v>0.1910184</v>
      </c>
      <c r="N21" s="161">
        <f t="shared" si="1"/>
        <v>4.6776399999999996E-2</v>
      </c>
      <c r="O21" s="121">
        <f t="shared" si="2"/>
        <v>0.24487902736071496</v>
      </c>
      <c r="P21" s="162">
        <f>IF(E21="Hardox 450",INDEX('Sac Parametreleri'!$G$11:$G$24,MATCH(F21,'Sac Parametreleri'!$A$11:$A$24,0)),INDEX('Sac Parametreleri'!$E$11:$E$24,MATCH(F21,'Sac Parametreleri'!$A$11:$A$24,0)))</f>
        <v>31.400000000000002</v>
      </c>
      <c r="Q21" s="162">
        <f>INDEX('Sac Parametreleri'!$F$11:$F$24,MATCH(F21,'Sac Parametreleri'!$A$11:$A$24,0))</f>
        <v>12.845454545454546</v>
      </c>
      <c r="R21" s="163">
        <f t="shared" si="3"/>
        <v>5.3971136400000006</v>
      </c>
      <c r="S21" s="163">
        <f t="shared" si="4"/>
        <v>5.3971136400000006</v>
      </c>
      <c r="T21" s="122">
        <f>K21*F21*'Sac Parametreleri'!$B$6*G21</f>
        <v>5.6614984999999995</v>
      </c>
      <c r="U21" s="122">
        <f>N21*F21*'Sac Parametreleri'!$B$6*G21</f>
        <v>1.8359736999999998</v>
      </c>
      <c r="V21" s="122">
        <f>M21*F21*'Sac Parametreleri'!$B$6*G21</f>
        <v>7.4974721999999998</v>
      </c>
      <c r="W21" s="118" t="s">
        <v>85</v>
      </c>
    </row>
    <row r="22" spans="1:24" ht="15" customHeight="1" x14ac:dyDescent="0.25">
      <c r="A22" s="118" t="s">
        <v>126</v>
      </c>
      <c r="B22" s="118">
        <v>1</v>
      </c>
      <c r="C22" s="118" t="s">
        <v>1569</v>
      </c>
      <c r="D22" s="118" t="s">
        <v>700</v>
      </c>
      <c r="E22" s="118" t="s">
        <v>1552</v>
      </c>
      <c r="F22" s="118">
        <v>5</v>
      </c>
      <c r="G22" s="118">
        <v>1</v>
      </c>
      <c r="H22" s="118" t="s">
        <v>1551</v>
      </c>
      <c r="I22" s="159">
        <v>1075.4000000000001</v>
      </c>
      <c r="J22" s="159">
        <v>949.5</v>
      </c>
      <c r="K22" s="160">
        <v>0.35406100000000001</v>
      </c>
      <c r="L22" s="160">
        <v>0.16483</v>
      </c>
      <c r="M22" s="161">
        <f t="shared" si="0"/>
        <v>1.0210923000000001</v>
      </c>
      <c r="N22" s="161">
        <f t="shared" si="1"/>
        <v>0.6670313000000001</v>
      </c>
      <c r="O22" s="121">
        <f t="shared" si="2"/>
        <v>0.65325269811553766</v>
      </c>
      <c r="P22" s="162">
        <f>IF(E22="Hardox 450",INDEX('Sac Parametreleri'!$G$11:$G$24,MATCH(F22,'Sac Parametreleri'!$A$11:$A$24,0)),INDEX('Sac Parametreleri'!$E$11:$E$24,MATCH(F22,'Sac Parametreleri'!$A$11:$A$24,0)))</f>
        <v>31.400000000000002</v>
      </c>
      <c r="Q22" s="162">
        <f>INDEX('Sac Parametreleri'!$F$11:$F$24,MATCH(F22,'Sac Parametreleri'!$A$11:$A$24,0))</f>
        <v>12.845454545454546</v>
      </c>
      <c r="R22" s="163">
        <f t="shared" si="3"/>
        <v>23.493977975454548</v>
      </c>
      <c r="S22" s="163">
        <f t="shared" si="4"/>
        <v>23.493977975454548</v>
      </c>
      <c r="T22" s="122">
        <f>K22*F22*'Sac Parametreleri'!$B$6*G22</f>
        <v>13.896894249999999</v>
      </c>
      <c r="U22" s="122">
        <f>N22*F22*'Sac Parametreleri'!$B$6*G22</f>
        <v>26.180978525000004</v>
      </c>
      <c r="V22" s="122">
        <f>M22*F22*'Sac Parametreleri'!$B$6*G22</f>
        <v>40.077872775000003</v>
      </c>
      <c r="W22" s="118" t="s">
        <v>85</v>
      </c>
    </row>
    <row r="23" spans="1:24" ht="15" customHeight="1" x14ac:dyDescent="0.25">
      <c r="A23" s="118" t="s">
        <v>126</v>
      </c>
      <c r="B23" s="118">
        <v>2</v>
      </c>
      <c r="C23" s="118" t="s">
        <v>1570</v>
      </c>
      <c r="D23" s="118" t="s">
        <v>700</v>
      </c>
      <c r="E23" s="118" t="s">
        <v>1552</v>
      </c>
      <c r="F23" s="118">
        <v>5</v>
      </c>
      <c r="G23" s="118">
        <v>1</v>
      </c>
      <c r="H23" s="118" t="s">
        <v>1551</v>
      </c>
      <c r="I23" s="159">
        <v>1075.4000000000001</v>
      </c>
      <c r="J23" s="159">
        <v>949.5</v>
      </c>
      <c r="K23" s="160">
        <v>0.33324199999999998</v>
      </c>
      <c r="L23" s="160">
        <v>5.6513000000000001E-2</v>
      </c>
      <c r="M23" s="161">
        <f t="shared" si="0"/>
        <v>1.0210923000000001</v>
      </c>
      <c r="N23" s="161">
        <f t="shared" si="1"/>
        <v>0.68785030000000003</v>
      </c>
      <c r="O23" s="121">
        <f t="shared" si="2"/>
        <v>0.67364164826235584</v>
      </c>
      <c r="P23" s="162">
        <f>IF(E23="Hardox 450",INDEX('Sac Parametreleri'!$G$11:$G$24,MATCH(F23,'Sac Parametreleri'!$A$11:$A$24,0)),INDEX('Sac Parametreleri'!$E$11:$E$24,MATCH(F23,'Sac Parametreleri'!$A$11:$A$24,0)))</f>
        <v>31.400000000000002</v>
      </c>
      <c r="Q23" s="162">
        <f>INDEX('Sac Parametreleri'!$F$11:$F$24,MATCH(F23,'Sac Parametreleri'!$A$11:$A$24,0))</f>
        <v>12.845454545454546</v>
      </c>
      <c r="R23" s="163">
        <f t="shared" si="3"/>
        <v>23.226548457272727</v>
      </c>
      <c r="S23" s="163">
        <f t="shared" si="4"/>
        <v>23.226548457272727</v>
      </c>
      <c r="T23" s="122">
        <f>K23*F23*'Sac Parametreleri'!$B$6*G23</f>
        <v>13.079748499999999</v>
      </c>
      <c r="U23" s="122">
        <f>N23*F23*'Sac Parametreleri'!$B$6*G23</f>
        <v>26.998124274999999</v>
      </c>
      <c r="V23" s="122">
        <f>M23*F23*'Sac Parametreleri'!$B$6*G23</f>
        <v>40.077872775000003</v>
      </c>
      <c r="W23" s="118" t="s">
        <v>85</v>
      </c>
    </row>
    <row r="24" spans="1:24" ht="15" customHeight="1" x14ac:dyDescent="0.25">
      <c r="A24" s="118" t="s">
        <v>126</v>
      </c>
      <c r="B24" s="118">
        <v>3</v>
      </c>
      <c r="C24" s="118" t="s">
        <v>699</v>
      </c>
      <c r="D24" s="118" t="s">
        <v>700</v>
      </c>
      <c r="E24" s="118" t="s">
        <v>1552</v>
      </c>
      <c r="F24" s="118">
        <v>5</v>
      </c>
      <c r="G24" s="118">
        <v>1</v>
      </c>
      <c r="H24" s="118" t="s">
        <v>1560</v>
      </c>
      <c r="I24" s="159">
        <v>1141.4000000000001</v>
      </c>
      <c r="J24" s="159">
        <v>140</v>
      </c>
      <c r="K24" s="160">
        <v>0.14696600000000001</v>
      </c>
      <c r="L24" s="160">
        <v>1.2045999999999999E-2</v>
      </c>
      <c r="M24" s="161">
        <f t="shared" si="0"/>
        <v>0.15979599999999999</v>
      </c>
      <c r="N24" s="161">
        <f t="shared" si="1"/>
        <v>1.282999999999998E-2</v>
      </c>
      <c r="O24" s="121">
        <f t="shared" si="2"/>
        <v>8.0289869583719128E-2</v>
      </c>
      <c r="P24" s="162">
        <f>IF(E24="Hardox 450",INDEX('Sac Parametreleri'!$G$11:$G$24,MATCH(F24,'Sac Parametreleri'!$A$11:$A$24,0)),INDEX('Sac Parametreleri'!$E$11:$E$24,MATCH(F24,'Sac Parametreleri'!$A$11:$A$24,0)))</f>
        <v>31.400000000000002</v>
      </c>
      <c r="Q24" s="162">
        <f>INDEX('Sac Parametreleri'!$F$11:$F$24,MATCH(F24,'Sac Parametreleri'!$A$11:$A$24,0))</f>
        <v>12.845454545454546</v>
      </c>
      <c r="R24" s="163">
        <f t="shared" si="3"/>
        <v>4.8527872181818186</v>
      </c>
      <c r="S24" s="163">
        <f t="shared" si="4"/>
        <v>4.8527872181818186</v>
      </c>
      <c r="T24" s="122">
        <f>K24*F24*'Sac Parametreleri'!$B$6*G24</f>
        <v>5.7684155000000006</v>
      </c>
      <c r="U24" s="122">
        <f>N24*F24*'Sac Parametreleri'!$B$6*G24</f>
        <v>0.50357749999999923</v>
      </c>
      <c r="V24" s="122">
        <f>M24*F24*'Sac Parametreleri'!$B$6*G24</f>
        <v>6.2719930000000002</v>
      </c>
      <c r="W24" s="118" t="s">
        <v>85</v>
      </c>
    </row>
    <row r="25" spans="1:24" ht="15" customHeight="1" x14ac:dyDescent="0.25">
      <c r="A25" s="118" t="s">
        <v>126</v>
      </c>
      <c r="B25" s="118">
        <v>4</v>
      </c>
      <c r="C25" s="118" t="s">
        <v>701</v>
      </c>
      <c r="D25" s="118" t="s">
        <v>700</v>
      </c>
      <c r="E25" s="118" t="s">
        <v>1552</v>
      </c>
      <c r="F25" s="118">
        <v>5</v>
      </c>
      <c r="G25" s="118">
        <v>1</v>
      </c>
      <c r="H25" s="118" t="s">
        <v>1560</v>
      </c>
      <c r="I25" s="159">
        <v>1102.5</v>
      </c>
      <c r="J25" s="159">
        <v>140</v>
      </c>
      <c r="K25" s="160">
        <v>0.13661899999999999</v>
      </c>
      <c r="L25" s="160">
        <v>1.6962000000000001E-2</v>
      </c>
      <c r="M25" s="161">
        <f t="shared" si="0"/>
        <v>0.15434999999999999</v>
      </c>
      <c r="N25" s="161">
        <f t="shared" si="1"/>
        <v>1.7730999999999997E-2</v>
      </c>
      <c r="O25" s="121">
        <f t="shared" si="2"/>
        <v>0.11487528344671201</v>
      </c>
      <c r="P25" s="162">
        <f>IF(E25="Hardox 450",INDEX('Sac Parametreleri'!$G$11:$G$24,MATCH(F25,'Sac Parametreleri'!$A$11:$A$24,0)),INDEX('Sac Parametreleri'!$E$11:$E$24,MATCH(F25,'Sac Parametreleri'!$A$11:$A$24,0)))</f>
        <v>31.400000000000002</v>
      </c>
      <c r="Q25" s="162">
        <f>INDEX('Sac Parametreleri'!$F$11:$F$24,MATCH(F25,'Sac Parametreleri'!$A$11:$A$24,0))</f>
        <v>12.845454545454546</v>
      </c>
      <c r="R25" s="163">
        <f t="shared" si="3"/>
        <v>4.6188272454545451</v>
      </c>
      <c r="S25" s="163">
        <f t="shared" si="4"/>
        <v>4.6188272454545451</v>
      </c>
      <c r="T25" s="122">
        <f>K25*F25*'Sac Parametreleri'!$B$6*G25</f>
        <v>5.3622957499999995</v>
      </c>
      <c r="U25" s="122">
        <f>N25*F25*'Sac Parametreleri'!$B$6*G25</f>
        <v>0.6959417499999998</v>
      </c>
      <c r="V25" s="122">
        <f>M25*F25*'Sac Parametreleri'!$B$6*G25</f>
        <v>6.0582374999999988</v>
      </c>
      <c r="W25" s="118" t="s">
        <v>85</v>
      </c>
    </row>
    <row r="26" spans="1:24" ht="15" customHeight="1" x14ac:dyDescent="0.25">
      <c r="A26" s="118" t="s">
        <v>126</v>
      </c>
      <c r="B26" s="118">
        <v>5</v>
      </c>
      <c r="C26" s="118" t="s">
        <v>702</v>
      </c>
      <c r="D26" s="118" t="s">
        <v>700</v>
      </c>
      <c r="E26" s="118" t="s">
        <v>1552</v>
      </c>
      <c r="F26" s="118">
        <v>5</v>
      </c>
      <c r="G26" s="118">
        <v>1</v>
      </c>
      <c r="H26" s="118" t="s">
        <v>1554</v>
      </c>
      <c r="I26" s="159">
        <v>1139.3</v>
      </c>
      <c r="J26" s="159">
        <v>140</v>
      </c>
      <c r="K26" s="160">
        <v>0.15851499999999999</v>
      </c>
      <c r="L26" s="160">
        <v>9.8999999999999999E-4</v>
      </c>
      <c r="M26" s="161">
        <f t="shared" si="0"/>
        <v>0.159502</v>
      </c>
      <c r="N26" s="161">
        <f t="shared" si="1"/>
        <v>9.8700000000001564E-4</v>
      </c>
      <c r="O26" s="121">
        <f t="shared" si="2"/>
        <v>6.1880101816906095E-3</v>
      </c>
      <c r="P26" s="162">
        <f>IF(E26="Hardox 450",INDEX('Sac Parametreleri'!$G$11:$G$24,MATCH(F26,'Sac Parametreleri'!$A$11:$A$24,0)),INDEX('Sac Parametreleri'!$E$11:$E$24,MATCH(F26,'Sac Parametreleri'!$A$11:$A$24,0)))</f>
        <v>31.400000000000002</v>
      </c>
      <c r="Q26" s="162">
        <f>INDEX('Sac Parametreleri'!$F$11:$F$24,MATCH(F26,'Sac Parametreleri'!$A$11:$A$24,0))</f>
        <v>12.845454545454546</v>
      </c>
      <c r="R26" s="163">
        <f t="shared" si="3"/>
        <v>4.9956843363636363</v>
      </c>
      <c r="S26" s="163">
        <f t="shared" si="4"/>
        <v>4.9956843363636363</v>
      </c>
      <c r="T26" s="122">
        <f>K26*F26*'Sac Parametreleri'!$B$6*G26</f>
        <v>6.2217137499999993</v>
      </c>
      <c r="U26" s="122">
        <f>N26*F26*'Sac Parametreleri'!$B$6*G26</f>
        <v>3.8739750000000614E-2</v>
      </c>
      <c r="V26" s="122">
        <f>M26*F26*'Sac Parametreleri'!$B$6*G26</f>
        <v>6.2604535000000006</v>
      </c>
      <c r="W26" s="118" t="s">
        <v>85</v>
      </c>
    </row>
    <row r="27" spans="1:24" ht="15" customHeight="1" x14ac:dyDescent="0.25">
      <c r="A27" s="118" t="s">
        <v>126</v>
      </c>
      <c r="B27" s="118">
        <v>6</v>
      </c>
      <c r="C27" s="118" t="s">
        <v>703</v>
      </c>
      <c r="D27" s="118" t="s">
        <v>700</v>
      </c>
      <c r="E27" s="118" t="s">
        <v>1552</v>
      </c>
      <c r="F27" s="118">
        <v>5</v>
      </c>
      <c r="G27" s="118">
        <v>1</v>
      </c>
      <c r="H27" s="118" t="s">
        <v>1568</v>
      </c>
      <c r="I27" s="159">
        <v>1675.6</v>
      </c>
      <c r="J27" s="159">
        <v>114</v>
      </c>
      <c r="K27" s="160">
        <v>0.14425099999999999</v>
      </c>
      <c r="L27" s="160">
        <v>4.5692999999999998E-2</v>
      </c>
      <c r="M27" s="161">
        <f t="shared" si="0"/>
        <v>0.1910184</v>
      </c>
      <c r="N27" s="161">
        <f t="shared" si="1"/>
        <v>4.6767400000000015E-2</v>
      </c>
      <c r="O27" s="121">
        <f t="shared" si="2"/>
        <v>0.24483191148077887</v>
      </c>
      <c r="P27" s="162">
        <f>IF(E27="Hardox 450",INDEX('Sac Parametreleri'!$G$11:$G$24,MATCH(F27,'Sac Parametreleri'!$A$11:$A$24,0)),INDEX('Sac Parametreleri'!$E$11:$E$24,MATCH(F27,'Sac Parametreleri'!$A$11:$A$24,0)))</f>
        <v>31.400000000000002</v>
      </c>
      <c r="Q27" s="162">
        <f>INDEX('Sac Parametreleri'!$F$11:$F$24,MATCH(F27,'Sac Parametreleri'!$A$11:$A$24,0))</f>
        <v>12.845454545454546</v>
      </c>
      <c r="R27" s="163">
        <f t="shared" si="3"/>
        <v>5.3972292490909091</v>
      </c>
      <c r="S27" s="163">
        <f t="shared" si="4"/>
        <v>5.3972292490909091</v>
      </c>
      <c r="T27" s="122">
        <f>K27*F27*'Sac Parametreleri'!$B$6*G27</f>
        <v>5.6618517499999994</v>
      </c>
      <c r="U27" s="122">
        <f>N27*F27*'Sac Parametreleri'!$B$6*G27</f>
        <v>1.8356204500000004</v>
      </c>
      <c r="V27" s="122">
        <f>M27*F27*'Sac Parametreleri'!$B$6*G27</f>
        <v>7.4974721999999998</v>
      </c>
      <c r="W27" s="118" t="s">
        <v>85</v>
      </c>
    </row>
    <row r="28" spans="1:24" ht="15" customHeight="1" x14ac:dyDescent="0.25">
      <c r="A28" s="118" t="s">
        <v>126</v>
      </c>
      <c r="B28" s="118">
        <v>7</v>
      </c>
      <c r="C28" s="118" t="s">
        <v>1561</v>
      </c>
      <c r="D28" s="118" t="s">
        <v>1571</v>
      </c>
      <c r="E28" s="118" t="s">
        <v>1552</v>
      </c>
      <c r="F28" s="118">
        <v>12</v>
      </c>
      <c r="G28" s="118">
        <v>2</v>
      </c>
      <c r="H28" s="118" t="s">
        <v>1551</v>
      </c>
      <c r="I28" s="159">
        <v>220</v>
      </c>
      <c r="J28" s="159">
        <v>140</v>
      </c>
      <c r="K28" s="160">
        <v>2.9749000000000001E-2</v>
      </c>
      <c r="L28" s="160">
        <v>9.41E-4</v>
      </c>
      <c r="M28" s="161">
        <f t="shared" si="0"/>
        <v>3.0800000000000001E-2</v>
      </c>
      <c r="N28" s="161">
        <f t="shared" si="1"/>
        <v>1.0509999999999999E-3</v>
      </c>
      <c r="O28" s="121">
        <f t="shared" si="2"/>
        <v>3.4123376623376618E-2</v>
      </c>
      <c r="P28" s="162">
        <f>IF(E28="Hardox 450",INDEX('Sac Parametreleri'!$G$11:$G$24,MATCH(F28,'Sac Parametreleri'!$A$11:$A$24,0)),INDEX('Sac Parametreleri'!$E$11:$E$24,MATCH(F28,'Sac Parametreleri'!$A$11:$A$24,0)))</f>
        <v>75.36</v>
      </c>
      <c r="Q28" s="162">
        <f>INDEX('Sac Parametreleri'!$F$11:$F$24,MATCH(F28,'Sac Parametreleri'!$A$11:$A$24,0))</f>
        <v>30.829090909090905</v>
      </c>
      <c r="R28" s="163">
        <f t="shared" si="3"/>
        <v>2.2886866254545457</v>
      </c>
      <c r="S28" s="163">
        <f t="shared" si="4"/>
        <v>4.5773732509090914</v>
      </c>
      <c r="T28" s="122">
        <f>K28*F28*'Sac Parametreleri'!$B$6*G28</f>
        <v>5.6047115999999999</v>
      </c>
      <c r="U28" s="122">
        <f>N28*F28*'Sac Parametreleri'!$B$6*G28</f>
        <v>0.19800839999999997</v>
      </c>
      <c r="V28" s="122">
        <f>M28*F28*'Sac Parametreleri'!$B$6*G28</f>
        <v>5.8027200000000008</v>
      </c>
      <c r="W28" s="118" t="s">
        <v>85</v>
      </c>
    </row>
    <row r="29" spans="1:24" ht="15" customHeight="1" x14ac:dyDescent="0.25">
      <c r="A29" s="118" t="s">
        <v>562</v>
      </c>
      <c r="B29" s="118">
        <v>1</v>
      </c>
      <c r="C29" s="118" t="s">
        <v>821</v>
      </c>
      <c r="D29" s="118" t="s">
        <v>700</v>
      </c>
      <c r="E29" s="118" t="s">
        <v>1552</v>
      </c>
      <c r="F29" s="118">
        <v>6</v>
      </c>
      <c r="G29" s="118">
        <v>1</v>
      </c>
      <c r="H29" s="118" t="s">
        <v>1560</v>
      </c>
      <c r="I29" s="159">
        <v>849.1</v>
      </c>
      <c r="J29" s="159">
        <v>140</v>
      </c>
      <c r="K29" s="160">
        <v>0.116928</v>
      </c>
      <c r="L29" s="160">
        <v>1.33E-3</v>
      </c>
      <c r="M29" s="161">
        <f t="shared" si="0"/>
        <v>0.11887399999999999</v>
      </c>
      <c r="N29" s="161">
        <f t="shared" si="1"/>
        <v>1.9459999999999894E-3</v>
      </c>
      <c r="O29" s="121">
        <f t="shared" si="2"/>
        <v>1.6370274408196828E-2</v>
      </c>
      <c r="P29" s="162">
        <f>IF(E29="Hardox 450",INDEX('Sac Parametreleri'!$G$11:$G$24,MATCH(F29,'Sac Parametreleri'!$A$11:$A$24,0)),INDEX('Sac Parametreleri'!$E$11:$E$24,MATCH(F29,'Sac Parametreleri'!$A$11:$A$24,0)))</f>
        <v>37.68</v>
      </c>
      <c r="Q29" s="162">
        <f>INDEX('Sac Parametreleri'!$F$11:$F$24,MATCH(F29,'Sac Parametreleri'!$A$11:$A$24,0))</f>
        <v>15.414545454545452</v>
      </c>
      <c r="R29" s="163">
        <f t="shared" si="3"/>
        <v>4.4491756145454548</v>
      </c>
      <c r="S29" s="163">
        <f t="shared" si="4"/>
        <v>4.4491756145454548</v>
      </c>
      <c r="T29" s="122">
        <f>K29*F29*'Sac Parametreleri'!$B$6*G29</f>
        <v>5.5073087999999997</v>
      </c>
      <c r="U29" s="122">
        <f>N29*F29*'Sac Parametreleri'!$B$6*G29</f>
        <v>9.1656599999999491E-2</v>
      </c>
      <c r="V29" s="122">
        <f>M29*F29*'Sac Parametreleri'!$B$6*G29</f>
        <v>5.5989654</v>
      </c>
      <c r="W29" s="118" t="s">
        <v>85</v>
      </c>
    </row>
    <row r="30" spans="1:24" ht="15" customHeight="1" x14ac:dyDescent="0.25">
      <c r="A30" s="118" t="s">
        <v>562</v>
      </c>
      <c r="B30" s="118">
        <v>2</v>
      </c>
      <c r="C30" s="118" t="s">
        <v>822</v>
      </c>
      <c r="D30" s="118" t="s">
        <v>700</v>
      </c>
      <c r="E30" s="118" t="s">
        <v>1552</v>
      </c>
      <c r="F30" s="118">
        <v>6</v>
      </c>
      <c r="G30" s="118">
        <v>1</v>
      </c>
      <c r="H30" s="118" t="s">
        <v>1560</v>
      </c>
      <c r="I30" s="159">
        <v>775.1</v>
      </c>
      <c r="J30" s="159">
        <v>140</v>
      </c>
      <c r="K30" s="160">
        <v>0.105224</v>
      </c>
      <c r="L30" s="160">
        <v>3.2940000000000001E-3</v>
      </c>
      <c r="M30" s="161">
        <f t="shared" si="0"/>
        <v>0.108514</v>
      </c>
      <c r="N30" s="161">
        <f t="shared" si="1"/>
        <v>3.2900000000000013E-3</v>
      </c>
      <c r="O30" s="121">
        <f t="shared" si="2"/>
        <v>3.0318668558895638E-2</v>
      </c>
      <c r="P30" s="162">
        <f>IF(E30="Hardox 450",INDEX('Sac Parametreleri'!$G$11:$G$24,MATCH(F30,'Sac Parametreleri'!$A$11:$A$24,0)),INDEX('Sac Parametreleri'!$E$11:$E$24,MATCH(F30,'Sac Parametreleri'!$A$11:$A$24,0)))</f>
        <v>37.68</v>
      </c>
      <c r="Q30" s="162">
        <f>INDEX('Sac Parametreleri'!$F$11:$F$24,MATCH(F30,'Sac Parametreleri'!$A$11:$A$24,0))</f>
        <v>15.414545454545452</v>
      </c>
      <c r="R30" s="163">
        <f t="shared" si="3"/>
        <v>4.0380936654545447</v>
      </c>
      <c r="S30" s="163">
        <f t="shared" si="4"/>
        <v>4.0380936654545447</v>
      </c>
      <c r="T30" s="122">
        <f>K30*F30*'Sac Parametreleri'!$B$6*G30</f>
        <v>4.9560503999999996</v>
      </c>
      <c r="U30" s="122">
        <f>N30*F30*'Sac Parametreleri'!$B$6*G30</f>
        <v>0.15495900000000004</v>
      </c>
      <c r="V30" s="122">
        <f>M30*F30*'Sac Parametreleri'!$B$6*G30</f>
        <v>5.1110093999999995</v>
      </c>
      <c r="W30" s="118" t="s">
        <v>85</v>
      </c>
    </row>
    <row r="31" spans="1:24" ht="15" customHeight="1" x14ac:dyDescent="0.25">
      <c r="A31" s="118" t="s">
        <v>562</v>
      </c>
      <c r="B31" s="118">
        <v>3</v>
      </c>
      <c r="C31" s="118" t="s">
        <v>1561</v>
      </c>
      <c r="D31" s="118" t="s">
        <v>1571</v>
      </c>
      <c r="E31" s="118" t="s">
        <v>1552</v>
      </c>
      <c r="F31" s="118">
        <v>12</v>
      </c>
      <c r="G31" s="118">
        <v>2</v>
      </c>
      <c r="H31" s="118" t="s">
        <v>1551</v>
      </c>
      <c r="I31" s="159">
        <v>220</v>
      </c>
      <c r="J31" s="159">
        <v>140</v>
      </c>
      <c r="K31" s="160">
        <v>2.9763000000000001E-2</v>
      </c>
      <c r="L31" s="160">
        <v>9.3999999999999997E-4</v>
      </c>
      <c r="M31" s="161">
        <f t="shared" si="0"/>
        <v>3.0800000000000001E-2</v>
      </c>
      <c r="N31" s="161">
        <f t="shared" si="1"/>
        <v>1.0369999999999997E-3</v>
      </c>
      <c r="O31" s="121">
        <f t="shared" si="2"/>
        <v>3.3668831168831161E-2</v>
      </c>
      <c r="P31" s="162">
        <f>IF(E31="Hardox 450",INDEX('Sac Parametreleri'!$G$11:$G$24,MATCH(F31,'Sac Parametreleri'!$A$11:$A$24,0)),INDEX('Sac Parametreleri'!$E$11:$E$24,MATCH(F31,'Sac Parametreleri'!$A$11:$A$24,0)))</f>
        <v>75.36</v>
      </c>
      <c r="Q31" s="162">
        <f>INDEX('Sac Parametreleri'!$F$11:$F$24,MATCH(F31,'Sac Parametreleri'!$A$11:$A$24,0))</f>
        <v>30.829090909090905</v>
      </c>
      <c r="R31" s="163">
        <f t="shared" si="3"/>
        <v>2.2891182327272728</v>
      </c>
      <c r="S31" s="163">
        <f t="shared" si="4"/>
        <v>4.5782364654545455</v>
      </c>
      <c r="T31" s="122">
        <f>K31*F31*'Sac Parametreleri'!$B$6*G31</f>
        <v>5.6073491999999998</v>
      </c>
      <c r="U31" s="122">
        <f>N31*F31*'Sac Parametreleri'!$B$6*G31</f>
        <v>0.19537079999999993</v>
      </c>
      <c r="V31" s="122">
        <f>M31*F31*'Sac Parametreleri'!$B$6*G31</f>
        <v>5.8027200000000008</v>
      </c>
      <c r="W31" s="118" t="s">
        <v>85</v>
      </c>
    </row>
    <row r="32" spans="1:24" ht="15" customHeight="1" x14ac:dyDescent="0.25">
      <c r="A32" s="118" t="s">
        <v>562</v>
      </c>
      <c r="B32" s="118">
        <v>4</v>
      </c>
      <c r="C32" s="118" t="s">
        <v>823</v>
      </c>
      <c r="D32" s="118" t="s">
        <v>700</v>
      </c>
      <c r="E32" s="118" t="s">
        <v>1552</v>
      </c>
      <c r="F32" s="118">
        <v>6</v>
      </c>
      <c r="G32" s="118">
        <v>1</v>
      </c>
      <c r="H32" s="118" t="s">
        <v>1554</v>
      </c>
      <c r="I32" s="159">
        <v>1119.4000000000001</v>
      </c>
      <c r="J32" s="159">
        <v>140</v>
      </c>
      <c r="K32" s="160">
        <v>0.15575800000000001</v>
      </c>
      <c r="L32" s="160">
        <v>9.6500000000000004E-4</v>
      </c>
      <c r="M32" s="161">
        <f t="shared" si="0"/>
        <v>0.15671599999999999</v>
      </c>
      <c r="N32" s="161">
        <f t="shared" si="1"/>
        <v>9.5799999999998664E-4</v>
      </c>
      <c r="O32" s="121">
        <f t="shared" si="2"/>
        <v>6.112968682202115E-3</v>
      </c>
      <c r="P32" s="162">
        <f>IF(E32="Hardox 450",INDEX('Sac Parametreleri'!$G$11:$G$24,MATCH(F32,'Sac Parametreleri'!$A$11:$A$24,0)),INDEX('Sac Parametreleri'!$E$11:$E$24,MATCH(F32,'Sac Parametreleri'!$A$11:$A$24,0)))</f>
        <v>37.68</v>
      </c>
      <c r="Q32" s="162">
        <f>INDEX('Sac Parametreleri'!$F$11:$F$24,MATCH(F32,'Sac Parametreleri'!$A$11:$A$24,0))</f>
        <v>15.414545454545452</v>
      </c>
      <c r="R32" s="163">
        <f t="shared" si="3"/>
        <v>5.8902917454545447</v>
      </c>
      <c r="S32" s="163">
        <f t="shared" si="4"/>
        <v>5.8902917454545447</v>
      </c>
      <c r="T32" s="122">
        <f>K32*F32*'Sac Parametreleri'!$B$6*G32</f>
        <v>7.3362018000000004</v>
      </c>
      <c r="U32" s="122">
        <f>N32*F32*'Sac Parametreleri'!$B$6*G32</f>
        <v>4.5121799999999372E-2</v>
      </c>
      <c r="V32" s="122">
        <f>M32*F32*'Sac Parametreleri'!$B$6*G32</f>
        <v>7.3813236</v>
      </c>
      <c r="W32" s="118" t="s">
        <v>85</v>
      </c>
    </row>
    <row r="33" spans="1:23" ht="15" customHeight="1" x14ac:dyDescent="0.25">
      <c r="A33" s="118" t="s">
        <v>562</v>
      </c>
      <c r="B33" s="118">
        <v>5</v>
      </c>
      <c r="C33" s="118" t="s">
        <v>824</v>
      </c>
      <c r="D33" s="118" t="s">
        <v>700</v>
      </c>
      <c r="E33" s="118" t="s">
        <v>1552</v>
      </c>
      <c r="F33" s="118">
        <v>6</v>
      </c>
      <c r="G33" s="118">
        <v>1</v>
      </c>
      <c r="H33" s="118" t="s">
        <v>1554</v>
      </c>
      <c r="I33" s="159">
        <v>1218.2</v>
      </c>
      <c r="J33" s="159">
        <v>112</v>
      </c>
      <c r="K33" s="160">
        <v>8.6482000000000003E-2</v>
      </c>
      <c r="L33" s="160">
        <v>4.8672E-2</v>
      </c>
      <c r="M33" s="161">
        <f t="shared" si="0"/>
        <v>0.13643839999999999</v>
      </c>
      <c r="N33" s="161">
        <f t="shared" si="1"/>
        <v>4.9956399999999984E-2</v>
      </c>
      <c r="O33" s="121">
        <f t="shared" si="2"/>
        <v>0.36614618758355411</v>
      </c>
      <c r="P33" s="162">
        <f>IF(E33="Hardox 450",INDEX('Sac Parametreleri'!$G$11:$G$24,MATCH(F33,'Sac Parametreleri'!$A$11:$A$24,0)),INDEX('Sac Parametreleri'!$E$11:$E$24,MATCH(F33,'Sac Parametreleri'!$A$11:$A$24,0)))</f>
        <v>37.68</v>
      </c>
      <c r="Q33" s="162">
        <f>INDEX('Sac Parametreleri'!$F$11:$F$24,MATCH(F33,'Sac Parametreleri'!$A$11:$A$24,0))</f>
        <v>15.414545454545452</v>
      </c>
      <c r="R33" s="163">
        <f t="shared" si="3"/>
        <v>4.3709437134545457</v>
      </c>
      <c r="S33" s="163">
        <f t="shared" si="4"/>
        <v>4.3709437134545457</v>
      </c>
      <c r="T33" s="122">
        <f>K33*F33*'Sac Parametreleri'!$B$6*G33</f>
        <v>4.0733021999999997</v>
      </c>
      <c r="U33" s="122">
        <f>N33*F33*'Sac Parametreleri'!$B$6*G33</f>
        <v>2.3529464399999993</v>
      </c>
      <c r="V33" s="122">
        <f>M33*F33*'Sac Parametreleri'!$B$6*G33</f>
        <v>6.4262486399999998</v>
      </c>
      <c r="W33" s="118" t="s">
        <v>85</v>
      </c>
    </row>
    <row r="34" spans="1:23" ht="15" customHeight="1" x14ac:dyDescent="0.25">
      <c r="A34" s="118" t="s">
        <v>562</v>
      </c>
      <c r="B34" s="118">
        <v>6</v>
      </c>
      <c r="C34" s="118" t="s">
        <v>1572</v>
      </c>
      <c r="D34" s="118" t="s">
        <v>700</v>
      </c>
      <c r="E34" s="118" t="s">
        <v>1552</v>
      </c>
      <c r="F34" s="118">
        <v>6</v>
      </c>
      <c r="G34" s="118">
        <v>1</v>
      </c>
      <c r="H34" s="118" t="s">
        <v>1551</v>
      </c>
      <c r="I34" s="159">
        <v>925.5</v>
      </c>
      <c r="J34" s="159">
        <v>765</v>
      </c>
      <c r="K34" s="160">
        <v>0.22889000000000001</v>
      </c>
      <c r="L34" s="160">
        <v>4.0314999999999997E-2</v>
      </c>
      <c r="M34" s="161">
        <f t="shared" si="0"/>
        <v>0.70800750000000001</v>
      </c>
      <c r="N34" s="161">
        <f t="shared" si="1"/>
        <v>0.47911749999999997</v>
      </c>
      <c r="O34" s="121">
        <f t="shared" si="2"/>
        <v>0.67671246420412212</v>
      </c>
      <c r="P34" s="162">
        <f>IF(E34="Hardox 450",INDEX('Sac Parametreleri'!$G$11:$G$24,MATCH(F34,'Sac Parametreleri'!$A$11:$A$24,0)),INDEX('Sac Parametreleri'!$E$11:$E$24,MATCH(F34,'Sac Parametreleri'!$A$11:$A$24,0)))</f>
        <v>37.68</v>
      </c>
      <c r="Q34" s="162">
        <f>INDEX('Sac Parametreleri'!$F$11:$F$24,MATCH(F34,'Sac Parametreleri'!$A$11:$A$24,0))</f>
        <v>15.414545454545452</v>
      </c>
      <c r="R34" s="163">
        <f t="shared" si="3"/>
        <v>19.29234411818182</v>
      </c>
      <c r="S34" s="163">
        <f t="shared" si="4"/>
        <v>19.29234411818182</v>
      </c>
      <c r="T34" s="122">
        <f>K34*F34*'Sac Parametreleri'!$B$6*G34</f>
        <v>10.780718999999999</v>
      </c>
      <c r="U34" s="122">
        <f>N34*F34*'Sac Parametreleri'!$B$6*G34</f>
        <v>22.566434249999997</v>
      </c>
      <c r="V34" s="122">
        <f>M34*F34*'Sac Parametreleri'!$B$6*G34</f>
        <v>33.347153249999998</v>
      </c>
      <c r="W34" s="118" t="s">
        <v>85</v>
      </c>
    </row>
    <row r="35" spans="1:23" ht="15" customHeight="1" x14ac:dyDescent="0.25">
      <c r="A35" s="118" t="s">
        <v>562</v>
      </c>
      <c r="B35" s="118">
        <v>7</v>
      </c>
      <c r="C35" s="118" t="s">
        <v>1573</v>
      </c>
      <c r="D35" s="118" t="s">
        <v>700</v>
      </c>
      <c r="E35" s="118" t="s">
        <v>1552</v>
      </c>
      <c r="F35" s="118">
        <v>6</v>
      </c>
      <c r="G35" s="118">
        <v>1</v>
      </c>
      <c r="H35" s="118" t="s">
        <v>1551</v>
      </c>
      <c r="I35" s="159">
        <v>925.5</v>
      </c>
      <c r="J35" s="159">
        <v>765</v>
      </c>
      <c r="K35" s="160">
        <v>0.25837399999999999</v>
      </c>
      <c r="L35" s="160">
        <v>0.13628299999999999</v>
      </c>
      <c r="M35" s="161">
        <f t="shared" si="0"/>
        <v>0.70800750000000001</v>
      </c>
      <c r="N35" s="161">
        <f t="shared" si="1"/>
        <v>0.44963350000000002</v>
      </c>
      <c r="O35" s="121">
        <f t="shared" si="2"/>
        <v>0.63506883754762489</v>
      </c>
      <c r="P35" s="162">
        <f>IF(E35="Hardox 450",INDEX('Sac Parametreleri'!$G$11:$G$24,MATCH(F35,'Sac Parametreleri'!$A$11:$A$24,0)),INDEX('Sac Parametreleri'!$E$11:$E$24,MATCH(F35,'Sac Parametreleri'!$A$11:$A$24,0)))</f>
        <v>37.68</v>
      </c>
      <c r="Q35" s="162">
        <f>INDEX('Sac Parametreleri'!$F$11:$F$24,MATCH(F35,'Sac Parametreleri'!$A$11:$A$24,0))</f>
        <v>15.414545454545452</v>
      </c>
      <c r="R35" s="163">
        <f t="shared" si="3"/>
        <v>19.746826576363638</v>
      </c>
      <c r="S35" s="163">
        <f t="shared" si="4"/>
        <v>19.746826576363638</v>
      </c>
      <c r="T35" s="122">
        <f>K35*F35*'Sac Parametreleri'!$B$6*G35</f>
        <v>12.169415399999998</v>
      </c>
      <c r="U35" s="122">
        <f>N35*F35*'Sac Parametreleri'!$B$6*G35</f>
        <v>21.17773785</v>
      </c>
      <c r="V35" s="122">
        <f>M35*F35*'Sac Parametreleri'!$B$6*G35</f>
        <v>33.347153249999998</v>
      </c>
      <c r="W35" s="118" t="s">
        <v>85</v>
      </c>
    </row>
    <row r="36" spans="1:23" ht="15" customHeight="1" x14ac:dyDescent="0.25">
      <c r="A36" s="118" t="s">
        <v>562</v>
      </c>
      <c r="B36" s="118">
        <v>9</v>
      </c>
      <c r="C36" s="118" t="s">
        <v>825</v>
      </c>
      <c r="D36" s="118" t="s">
        <v>826</v>
      </c>
      <c r="E36" s="118" t="s">
        <v>1552</v>
      </c>
      <c r="F36" s="118">
        <v>8</v>
      </c>
      <c r="G36" s="118">
        <v>1</v>
      </c>
      <c r="H36" s="118" t="s">
        <v>1560</v>
      </c>
      <c r="I36" s="159">
        <v>200.6</v>
      </c>
      <c r="J36" s="159">
        <v>110</v>
      </c>
      <c r="K36" s="160">
        <v>2.0815E-2</v>
      </c>
      <c r="L36" s="160">
        <v>1.2539999999999999E-3</v>
      </c>
      <c r="M36" s="161">
        <f t="shared" si="0"/>
        <v>2.2065999999999999E-2</v>
      </c>
      <c r="N36" s="161">
        <f t="shared" si="1"/>
        <v>1.2509999999999986E-3</v>
      </c>
      <c r="O36" s="121">
        <f t="shared" si="2"/>
        <v>5.6693555696546667E-2</v>
      </c>
      <c r="P36" s="162">
        <f>IF(E36="Hardox 450",INDEX('Sac Parametreleri'!$G$11:$G$24,MATCH(F36,'Sac Parametreleri'!$A$11:$A$24,0)),INDEX('Sac Parametreleri'!$E$11:$E$24,MATCH(F36,'Sac Parametreleri'!$A$11:$A$24,0)))</f>
        <v>50.24</v>
      </c>
      <c r="Q36" s="162">
        <f>INDEX('Sac Parametreleri'!$F$11:$F$24,MATCH(F36,'Sac Parametreleri'!$A$11:$A$24,0))</f>
        <v>20.552727272727271</v>
      </c>
      <c r="R36" s="163">
        <f t="shared" si="3"/>
        <v>1.0828843781818183</v>
      </c>
      <c r="S36" s="163">
        <f t="shared" si="4"/>
        <v>1.0828843781818183</v>
      </c>
      <c r="T36" s="122">
        <f>K36*F36*'Sac Parametreleri'!$B$6*G36</f>
        <v>1.3071819999999998</v>
      </c>
      <c r="U36" s="122">
        <f>N36*F36*'Sac Parametreleri'!$B$6*G36</f>
        <v>7.8562799999999905E-2</v>
      </c>
      <c r="V36" s="122">
        <f>M36*F36*'Sac Parametreleri'!$B$6*G36</f>
        <v>1.3857447999999999</v>
      </c>
      <c r="W36" s="118" t="s">
        <v>85</v>
      </c>
    </row>
    <row r="37" spans="1:23" ht="15" customHeight="1" x14ac:dyDescent="0.25">
      <c r="A37" s="118" t="s">
        <v>562</v>
      </c>
      <c r="B37" s="118">
        <v>9</v>
      </c>
      <c r="C37" s="118" t="s">
        <v>1574</v>
      </c>
      <c r="D37" s="118" t="s">
        <v>826</v>
      </c>
      <c r="E37" s="118" t="s">
        <v>1552</v>
      </c>
      <c r="F37" s="118">
        <v>8</v>
      </c>
      <c r="G37" s="118">
        <v>2</v>
      </c>
      <c r="H37" s="118" t="s">
        <v>1551</v>
      </c>
      <c r="I37" s="159">
        <v>82.5</v>
      </c>
      <c r="J37" s="159">
        <v>50</v>
      </c>
      <c r="K37" s="160">
        <v>3.2439999999999999E-3</v>
      </c>
      <c r="L37" s="160">
        <v>3.5399999999999999E-4</v>
      </c>
      <c r="M37" s="161">
        <f t="shared" si="0"/>
        <v>4.1250000000000002E-3</v>
      </c>
      <c r="N37" s="161">
        <f t="shared" si="1"/>
        <v>8.8100000000000027E-4</v>
      </c>
      <c r="O37" s="121">
        <f t="shared" si="2"/>
        <v>0.21357575757575764</v>
      </c>
      <c r="P37" s="162">
        <f>IF(E37="Hardox 450",INDEX('Sac Parametreleri'!$G$11:$G$24,MATCH(F37,'Sac Parametreleri'!$A$11:$A$24,0)),INDEX('Sac Parametreleri'!$E$11:$E$24,MATCH(F37,'Sac Parametreleri'!$A$11:$A$24,0)))</f>
        <v>50.24</v>
      </c>
      <c r="Q37" s="162">
        <f>INDEX('Sac Parametreleri'!$F$11:$F$24,MATCH(F37,'Sac Parametreleri'!$A$11:$A$24,0))</f>
        <v>20.552727272727271</v>
      </c>
      <c r="R37" s="163">
        <f t="shared" si="3"/>
        <v>0.18913304727272728</v>
      </c>
      <c r="S37" s="163">
        <f t="shared" si="4"/>
        <v>0.37826609454545457</v>
      </c>
      <c r="T37" s="122">
        <f>K37*F37*'Sac Parametreleri'!$B$6*G37</f>
        <v>0.40744639999999999</v>
      </c>
      <c r="U37" s="122">
        <f>N37*F37*'Sac Parametreleri'!$B$6*G37</f>
        <v>0.11065360000000003</v>
      </c>
      <c r="V37" s="122">
        <f>M37*F37*'Sac Parametreleri'!$B$6*G37</f>
        <v>0.5181</v>
      </c>
      <c r="W37" s="118" t="s">
        <v>85</v>
      </c>
    </row>
    <row r="38" spans="1:23" ht="15" customHeight="1" x14ac:dyDescent="0.25">
      <c r="A38" s="118" t="s">
        <v>545</v>
      </c>
      <c r="B38" s="118">
        <v>1</v>
      </c>
      <c r="C38" s="118" t="s">
        <v>829</v>
      </c>
      <c r="D38" s="118" t="s">
        <v>830</v>
      </c>
      <c r="E38" s="118" t="s">
        <v>1552</v>
      </c>
      <c r="F38" s="118">
        <v>4</v>
      </c>
      <c r="G38" s="118">
        <v>1</v>
      </c>
      <c r="H38" s="118" t="s">
        <v>1575</v>
      </c>
      <c r="I38" s="159">
        <v>1375</v>
      </c>
      <c r="J38" s="159">
        <v>372.4</v>
      </c>
      <c r="K38" s="160">
        <v>0.47941499999999998</v>
      </c>
      <c r="L38" s="160">
        <v>1.3110000000000001E-3</v>
      </c>
      <c r="M38" s="161">
        <f t="shared" si="0"/>
        <v>0.51204999999999989</v>
      </c>
      <c r="N38" s="161">
        <f t="shared" si="1"/>
        <v>3.2634999999999914E-2</v>
      </c>
      <c r="O38" s="121">
        <f t="shared" si="2"/>
        <v>6.3734010350551554E-2</v>
      </c>
      <c r="P38" s="162">
        <f>IF(E38="Hardox 450",INDEX('Sac Parametreleri'!$G$11:$G$24,MATCH(F38,'Sac Parametreleri'!$A$11:$A$24,0)),INDEX('Sac Parametreleri'!$E$11:$E$24,MATCH(F38,'Sac Parametreleri'!$A$11:$A$24,0)))</f>
        <v>25.12</v>
      </c>
      <c r="Q38" s="162">
        <f>INDEX('Sac Parametreleri'!$F$11:$F$24,MATCH(F38,'Sac Parametreleri'!$A$11:$A$24,0))</f>
        <v>10.276363636363635</v>
      </c>
      <c r="R38" s="163">
        <f t="shared" si="3"/>
        <v>12.527326872727272</v>
      </c>
      <c r="S38" s="163">
        <f t="shared" si="4"/>
        <v>12.527326872727272</v>
      </c>
      <c r="T38" s="122">
        <f>K38*F38*'Sac Parametreleri'!$B$6*G38</f>
        <v>15.053630999999999</v>
      </c>
      <c r="U38" s="122">
        <f>N38*F38*'Sac Parametreleri'!$B$6*G38</f>
        <v>1.0247389999999972</v>
      </c>
      <c r="V38" s="122">
        <f>M38*F38*'Sac Parametreleri'!$B$6*G38</f>
        <v>16.078369999999996</v>
      </c>
      <c r="W38" s="118" t="s">
        <v>85</v>
      </c>
    </row>
    <row r="39" spans="1:23" ht="15" customHeight="1" x14ac:dyDescent="0.25">
      <c r="A39" s="118" t="s">
        <v>545</v>
      </c>
      <c r="B39" s="118">
        <v>2</v>
      </c>
      <c r="C39" s="118" t="s">
        <v>831</v>
      </c>
      <c r="D39" s="118" t="s">
        <v>832</v>
      </c>
      <c r="E39" s="118" t="s">
        <v>1552</v>
      </c>
      <c r="F39" s="118">
        <v>4</v>
      </c>
      <c r="G39" s="118">
        <v>1</v>
      </c>
      <c r="H39" s="118" t="s">
        <v>1576</v>
      </c>
      <c r="I39" s="159">
        <v>886</v>
      </c>
      <c r="J39" s="159">
        <v>348.7</v>
      </c>
      <c r="K39" s="160">
        <v>0.24454799999999999</v>
      </c>
      <c r="L39" s="160">
        <v>1.572E-3</v>
      </c>
      <c r="M39" s="161">
        <f t="shared" si="0"/>
        <v>0.30894820000000001</v>
      </c>
      <c r="N39" s="161">
        <f t="shared" si="1"/>
        <v>6.4400200000000019E-2</v>
      </c>
      <c r="O39" s="121">
        <f t="shared" si="2"/>
        <v>0.20844983074832615</v>
      </c>
      <c r="P39" s="162">
        <f>IF(E39="Hardox 450",INDEX('Sac Parametreleri'!$G$11:$G$24,MATCH(F39,'Sac Parametreleri'!$A$11:$A$24,0)),INDEX('Sac Parametreleri'!$E$11:$E$24,MATCH(F39,'Sac Parametreleri'!$A$11:$A$24,0)))</f>
        <v>25.12</v>
      </c>
      <c r="Q39" s="162">
        <f>INDEX('Sac Parametreleri'!$F$11:$F$24,MATCH(F39,'Sac Parametreleri'!$A$11:$A$24,0))</f>
        <v>10.276363636363635</v>
      </c>
      <c r="R39" s="163">
        <f t="shared" si="3"/>
        <v>7.0989789105454548</v>
      </c>
      <c r="S39" s="163">
        <f t="shared" si="4"/>
        <v>7.0989789105454548</v>
      </c>
      <c r="T39" s="122">
        <f>K39*F39*'Sac Parametreleri'!$B$6*G39</f>
        <v>7.6788071999999996</v>
      </c>
      <c r="U39" s="122">
        <f>N39*F39*'Sac Parametreleri'!$B$6*G39</f>
        <v>2.0221662800000004</v>
      </c>
      <c r="V39" s="122">
        <f>M39*F39*'Sac Parametreleri'!$B$6*G39</f>
        <v>9.70097348</v>
      </c>
      <c r="W39" s="118" t="s">
        <v>85</v>
      </c>
    </row>
    <row r="40" spans="1:23" ht="15" customHeight="1" x14ac:dyDescent="0.25">
      <c r="A40" s="118" t="s">
        <v>545</v>
      </c>
      <c r="B40" s="118">
        <v>3</v>
      </c>
      <c r="C40" s="118" t="s">
        <v>833</v>
      </c>
      <c r="D40" s="118" t="s">
        <v>834</v>
      </c>
      <c r="E40" s="118" t="s">
        <v>1552</v>
      </c>
      <c r="F40" s="118">
        <v>4</v>
      </c>
      <c r="G40" s="118">
        <v>1</v>
      </c>
      <c r="H40" s="118" t="s">
        <v>1575</v>
      </c>
      <c r="I40" s="159">
        <v>1375</v>
      </c>
      <c r="J40" s="159">
        <v>264.3</v>
      </c>
      <c r="K40" s="160">
        <v>0.34193099999999998</v>
      </c>
      <c r="L40" s="160">
        <v>9.3300000000000002E-4</v>
      </c>
      <c r="M40" s="161">
        <f t="shared" si="0"/>
        <v>0.36341250000000003</v>
      </c>
      <c r="N40" s="161">
        <f t="shared" si="1"/>
        <v>2.1481500000000042E-2</v>
      </c>
      <c r="O40" s="121">
        <f t="shared" si="2"/>
        <v>5.911051491074204E-2</v>
      </c>
      <c r="P40" s="162">
        <f>IF(E40="Hardox 450",INDEX('Sac Parametreleri'!$G$11:$G$24,MATCH(F40,'Sac Parametreleri'!$A$11:$A$24,0)),INDEX('Sac Parametreleri'!$E$11:$E$24,MATCH(F40,'Sac Parametreleri'!$A$11:$A$24,0)))</f>
        <v>25.12</v>
      </c>
      <c r="Q40" s="162">
        <f>INDEX('Sac Parametreleri'!$F$11:$F$24,MATCH(F40,'Sac Parametreleri'!$A$11:$A$24,0))</f>
        <v>10.276363636363635</v>
      </c>
      <c r="R40" s="163">
        <f t="shared" si="3"/>
        <v>8.9081702945454548</v>
      </c>
      <c r="S40" s="163">
        <f t="shared" si="4"/>
        <v>8.9081702945454548</v>
      </c>
      <c r="T40" s="122">
        <f>K40*F40*'Sac Parametreleri'!$B$6*G40</f>
        <v>10.736633399999999</v>
      </c>
      <c r="U40" s="122">
        <f>N40*F40*'Sac Parametreleri'!$B$6*G40</f>
        <v>0.67451910000000126</v>
      </c>
      <c r="V40" s="122">
        <f>M40*F40*'Sac Parametreleri'!$B$6*G40</f>
        <v>11.4111525</v>
      </c>
      <c r="W40" s="118" t="s">
        <v>85</v>
      </c>
    </row>
    <row r="41" spans="1:23" ht="15" customHeight="1" x14ac:dyDescent="0.25">
      <c r="A41" s="118" t="s">
        <v>545</v>
      </c>
      <c r="B41" s="118">
        <v>4</v>
      </c>
      <c r="C41" s="118" t="s">
        <v>835</v>
      </c>
      <c r="D41" s="118" t="s">
        <v>836</v>
      </c>
      <c r="E41" s="118" t="s">
        <v>1552</v>
      </c>
      <c r="F41" s="118">
        <v>4</v>
      </c>
      <c r="G41" s="118">
        <v>1</v>
      </c>
      <c r="H41" s="118" t="s">
        <v>1576</v>
      </c>
      <c r="I41" s="159">
        <v>886</v>
      </c>
      <c r="J41" s="159">
        <v>348.7</v>
      </c>
      <c r="K41" s="160">
        <v>0.24409400000000001</v>
      </c>
      <c r="L41" s="160">
        <v>2.0170000000000001E-3</v>
      </c>
      <c r="M41" s="161">
        <f t="shared" si="0"/>
        <v>0.30894820000000001</v>
      </c>
      <c r="N41" s="161">
        <f t="shared" si="1"/>
        <v>6.4854200000000001E-2</v>
      </c>
      <c r="O41" s="121">
        <f t="shared" si="2"/>
        <v>0.20991933275545868</v>
      </c>
      <c r="P41" s="162">
        <f>IF(E41="Hardox 450",INDEX('Sac Parametreleri'!$G$11:$G$24,MATCH(F41,'Sac Parametreleri'!$A$11:$A$24,0)),INDEX('Sac Parametreleri'!$E$11:$E$24,MATCH(F41,'Sac Parametreleri'!$A$11:$A$24,0)))</f>
        <v>25.12</v>
      </c>
      <c r="Q41" s="162">
        <f>INDEX('Sac Parametreleri'!$F$11:$F$24,MATCH(F41,'Sac Parametreleri'!$A$11:$A$24,0))</f>
        <v>10.276363636363635</v>
      </c>
      <c r="R41" s="163">
        <f t="shared" si="3"/>
        <v>7.0943134414545455</v>
      </c>
      <c r="S41" s="163">
        <f t="shared" si="4"/>
        <v>7.0943134414545455</v>
      </c>
      <c r="T41" s="122">
        <f>K41*F41*'Sac Parametreleri'!$B$6*G41</f>
        <v>7.6645516000000002</v>
      </c>
      <c r="U41" s="122">
        <f>N41*F41*'Sac Parametreleri'!$B$6*G41</f>
        <v>2.0364218799999998</v>
      </c>
      <c r="V41" s="122">
        <f>M41*F41*'Sac Parametreleri'!$B$6*G41</f>
        <v>9.70097348</v>
      </c>
      <c r="W41" s="118" t="s">
        <v>85</v>
      </c>
    </row>
    <row r="42" spans="1:23" ht="15" customHeight="1" x14ac:dyDescent="0.25">
      <c r="A42" s="118" t="s">
        <v>545</v>
      </c>
      <c r="B42" s="118">
        <v>5</v>
      </c>
      <c r="C42" s="118" t="s">
        <v>1577</v>
      </c>
      <c r="D42" s="118" t="s">
        <v>1578</v>
      </c>
      <c r="E42" s="118" t="s">
        <v>1552</v>
      </c>
      <c r="F42" s="118">
        <v>10</v>
      </c>
      <c r="G42" s="118">
        <v>2</v>
      </c>
      <c r="H42" s="118" t="s">
        <v>1551</v>
      </c>
      <c r="I42" s="159">
        <v>120</v>
      </c>
      <c r="J42" s="159">
        <v>55</v>
      </c>
      <c r="K42" s="160">
        <v>6.0530000000000002E-3</v>
      </c>
      <c r="L42" s="160">
        <v>4.0900000000000002E-4</v>
      </c>
      <c r="M42" s="161">
        <f t="shared" si="0"/>
        <v>6.6E-3</v>
      </c>
      <c r="N42" s="161">
        <f t="shared" si="1"/>
        <v>5.4699999999999974E-4</v>
      </c>
      <c r="O42" s="121">
        <f t="shared" si="2"/>
        <v>8.2878787878787843E-2</v>
      </c>
      <c r="P42" s="162">
        <f>IF(E42="Hardox 450",INDEX('Sac Parametreleri'!$G$11:$G$24,MATCH(F42,'Sac Parametreleri'!$A$11:$A$24,0)),INDEX('Sac Parametreleri'!$E$11:$E$24,MATCH(F42,'Sac Parametreleri'!$A$11:$A$24,0)))</f>
        <v>62.800000000000004</v>
      </c>
      <c r="Q42" s="162">
        <f>INDEX('Sac Parametreleri'!$F$11:$F$24,MATCH(F42,'Sac Parametreleri'!$A$11:$A$24,0))</f>
        <v>25.690909090909091</v>
      </c>
      <c r="R42" s="163">
        <f t="shared" si="3"/>
        <v>0.40042707272727274</v>
      </c>
      <c r="S42" s="163">
        <f t="shared" si="4"/>
        <v>0.80085414545454547</v>
      </c>
      <c r="T42" s="122">
        <f>K42*F42*'Sac Parametreleri'!$B$6*G42</f>
        <v>0.95032099999999997</v>
      </c>
      <c r="U42" s="122">
        <f>N42*F42*'Sac Parametreleri'!$B$6*G42</f>
        <v>8.5878999999999955E-2</v>
      </c>
      <c r="V42" s="122">
        <f>M42*F42*'Sac Parametreleri'!$B$6*G42</f>
        <v>1.0362</v>
      </c>
      <c r="W42" s="118" t="s">
        <v>85</v>
      </c>
    </row>
    <row r="43" spans="1:23" ht="15" customHeight="1" x14ac:dyDescent="0.25">
      <c r="A43" s="118" t="s">
        <v>545</v>
      </c>
      <c r="B43" s="118">
        <v>6</v>
      </c>
      <c r="C43" s="118" t="s">
        <v>837</v>
      </c>
      <c r="D43" s="118" t="s">
        <v>838</v>
      </c>
      <c r="E43" s="118" t="s">
        <v>1552</v>
      </c>
      <c r="F43" s="118">
        <v>4</v>
      </c>
      <c r="G43" s="118">
        <v>1</v>
      </c>
      <c r="H43" s="118" t="s">
        <v>1553</v>
      </c>
      <c r="I43" s="159">
        <v>1275</v>
      </c>
      <c r="J43" s="159">
        <v>96.8</v>
      </c>
      <c r="K43" s="160">
        <v>0.12346699999999999</v>
      </c>
      <c r="L43" s="160">
        <v>0</v>
      </c>
      <c r="M43" s="161">
        <f t="shared" si="0"/>
        <v>0.12342</v>
      </c>
      <c r="N43" s="161">
        <f t="shared" si="1"/>
        <v>0</v>
      </c>
      <c r="O43" s="121">
        <f t="shared" si="2"/>
        <v>0</v>
      </c>
      <c r="P43" s="162">
        <f>IF(E43="Hardox 450",INDEX('Sac Parametreleri'!$G$11:$G$24,MATCH(F43,'Sac Parametreleri'!$A$11:$A$24,0)),INDEX('Sac Parametreleri'!$E$11:$E$24,MATCH(F43,'Sac Parametreleri'!$A$11:$A$24,0)))</f>
        <v>25.12</v>
      </c>
      <c r="Q43" s="162">
        <f>INDEX('Sac Parametreleri'!$F$11:$F$24,MATCH(F43,'Sac Parametreleri'!$A$11:$A$24,0))</f>
        <v>10.276363636363635</v>
      </c>
      <c r="R43" s="163">
        <f t="shared" si="3"/>
        <v>3.10149104</v>
      </c>
      <c r="S43" s="163">
        <f t="shared" si="4"/>
        <v>3.10149104</v>
      </c>
      <c r="T43" s="122">
        <f>K43*F43*'Sac Parametreleri'!$B$6*G43</f>
        <v>3.8768637999999997</v>
      </c>
      <c r="U43" s="122">
        <f>N43*F43*'Sac Parametreleri'!$B$6*G43</f>
        <v>0</v>
      </c>
      <c r="V43" s="122">
        <f>M43*F43*'Sac Parametreleri'!$B$6*G43</f>
        <v>3.8753880000000001</v>
      </c>
      <c r="W43" s="118" t="s">
        <v>85</v>
      </c>
    </row>
    <row r="44" spans="1:23" ht="15" customHeight="1" x14ac:dyDescent="0.25">
      <c r="A44" s="118" t="s">
        <v>545</v>
      </c>
      <c r="B44" s="118">
        <v>7</v>
      </c>
      <c r="C44" s="118" t="s">
        <v>1579</v>
      </c>
      <c r="D44" s="118" t="s">
        <v>1580</v>
      </c>
      <c r="E44" s="118" t="s">
        <v>1552</v>
      </c>
      <c r="F44" s="118">
        <v>5</v>
      </c>
      <c r="G44" s="118">
        <v>2</v>
      </c>
      <c r="H44" s="118" t="s">
        <v>1551</v>
      </c>
      <c r="I44" s="159">
        <v>60</v>
      </c>
      <c r="J44" s="159">
        <v>45</v>
      </c>
      <c r="K44" s="160">
        <v>2.3540000000000002E-3</v>
      </c>
      <c r="L44" s="160">
        <v>0</v>
      </c>
      <c r="M44" s="161">
        <f t="shared" si="0"/>
        <v>2.7000000000000001E-3</v>
      </c>
      <c r="N44" s="161">
        <f t="shared" si="1"/>
        <v>3.4599999999999995E-4</v>
      </c>
      <c r="O44" s="121">
        <f t="shared" si="2"/>
        <v>0.12814814814814812</v>
      </c>
      <c r="P44" s="162">
        <f>IF(E44="Hardox 450",INDEX('Sac Parametreleri'!$G$11:$G$24,MATCH(F44,'Sac Parametreleri'!$A$11:$A$24,0)),INDEX('Sac Parametreleri'!$E$11:$E$24,MATCH(F44,'Sac Parametreleri'!$A$11:$A$24,0)))</f>
        <v>31.400000000000002</v>
      </c>
      <c r="Q44" s="162">
        <f>INDEX('Sac Parametreleri'!$F$11:$F$24,MATCH(F44,'Sac Parametreleri'!$A$11:$A$24,0))</f>
        <v>12.845454545454546</v>
      </c>
      <c r="R44" s="163">
        <f t="shared" si="3"/>
        <v>8.0335472727272733E-2</v>
      </c>
      <c r="S44" s="163">
        <f t="shared" si="4"/>
        <v>0.16067094545454547</v>
      </c>
      <c r="T44" s="122">
        <f>K44*F44*'Sac Parametreleri'!$B$6*G44</f>
        <v>0.18478900000000001</v>
      </c>
      <c r="U44" s="122">
        <f>N44*F44*'Sac Parametreleri'!$B$6*G44</f>
        <v>2.7160999999999994E-2</v>
      </c>
      <c r="V44" s="122">
        <f>M44*F44*'Sac Parametreleri'!$B$6*G44</f>
        <v>0.21195000000000003</v>
      </c>
      <c r="W44" s="118" t="s">
        <v>85</v>
      </c>
    </row>
    <row r="45" spans="1:23" ht="15" customHeight="1" x14ac:dyDescent="0.25">
      <c r="A45" s="118" t="s">
        <v>545</v>
      </c>
      <c r="B45" s="118">
        <v>8</v>
      </c>
      <c r="C45" s="118" t="s">
        <v>839</v>
      </c>
      <c r="D45" s="118" t="s">
        <v>840</v>
      </c>
      <c r="E45" s="118" t="s">
        <v>1552</v>
      </c>
      <c r="F45" s="118">
        <v>2</v>
      </c>
      <c r="G45" s="118">
        <v>2</v>
      </c>
      <c r="H45" s="118" t="s">
        <v>1554</v>
      </c>
      <c r="I45" s="159">
        <v>170</v>
      </c>
      <c r="J45" s="159">
        <v>54.2</v>
      </c>
      <c r="K45" s="160">
        <v>9.2090000000000002E-3</v>
      </c>
      <c r="L45" s="160">
        <v>0</v>
      </c>
      <c r="M45" s="161">
        <f t="shared" si="0"/>
        <v>9.214E-3</v>
      </c>
      <c r="N45" s="161">
        <f t="shared" si="1"/>
        <v>4.9999999999997963E-6</v>
      </c>
      <c r="O45" s="121">
        <f t="shared" si="2"/>
        <v>5.4265248534836081E-4</v>
      </c>
      <c r="P45" s="162">
        <f>IF(E45="Hardox 450",INDEX('Sac Parametreleri'!$G$11:$G$24,MATCH(F45,'Sac Parametreleri'!$A$11:$A$24,0)),INDEX('Sac Parametreleri'!$E$11:$E$24,MATCH(F45,'Sac Parametreleri'!$A$11:$A$24,0)))</f>
        <v>12.56</v>
      </c>
      <c r="Q45" s="162">
        <f>INDEX('Sac Parametreleri'!$F$11:$F$24,MATCH(F45,'Sac Parametreleri'!$A$11:$A$24,0))</f>
        <v>5.1381818181818177</v>
      </c>
      <c r="R45" s="163">
        <f t="shared" si="3"/>
        <v>0.11570214909090909</v>
      </c>
      <c r="S45" s="163">
        <f t="shared" si="4"/>
        <v>0.23140429818181818</v>
      </c>
      <c r="T45" s="122">
        <f>K45*F45*'Sac Parametreleri'!$B$6*G45</f>
        <v>0.28916259999999999</v>
      </c>
      <c r="U45" s="122">
        <f>N45*F45*'Sac Parametreleri'!$B$6*G45</f>
        <v>1.569999999999936E-4</v>
      </c>
      <c r="V45" s="122">
        <f>M45*F45*'Sac Parametreleri'!$B$6*G45</f>
        <v>0.28931960000000001</v>
      </c>
      <c r="W45" s="118" t="s">
        <v>85</v>
      </c>
    </row>
    <row r="46" spans="1:23" ht="15" customHeight="1" x14ac:dyDescent="0.25">
      <c r="A46" s="118" t="s">
        <v>545</v>
      </c>
      <c r="B46" s="118">
        <v>9</v>
      </c>
      <c r="C46" s="118" t="s">
        <v>841</v>
      </c>
      <c r="D46" s="118" t="s">
        <v>842</v>
      </c>
      <c r="E46" s="118" t="s">
        <v>1552</v>
      </c>
      <c r="F46" s="118">
        <v>3</v>
      </c>
      <c r="G46" s="118">
        <v>1</v>
      </c>
      <c r="H46" s="118" t="s">
        <v>1553</v>
      </c>
      <c r="I46" s="159">
        <v>88.7</v>
      </c>
      <c r="J46" s="159">
        <v>75</v>
      </c>
      <c r="K46" s="160">
        <v>6.3819999999999997E-3</v>
      </c>
      <c r="L46" s="160">
        <v>8.5000000000000006E-5</v>
      </c>
      <c r="M46" s="161">
        <f t="shared" si="0"/>
        <v>6.6525000000000004E-3</v>
      </c>
      <c r="N46" s="161">
        <f t="shared" si="1"/>
        <v>2.7050000000000077E-4</v>
      </c>
      <c r="O46" s="121">
        <f t="shared" si="2"/>
        <v>4.0661405486659266E-2</v>
      </c>
      <c r="P46" s="162">
        <f>IF(E46="Hardox 450",INDEX('Sac Parametreleri'!$G$11:$G$24,MATCH(F46,'Sac Parametreleri'!$A$11:$A$24,0)),INDEX('Sac Parametreleri'!$E$11:$E$24,MATCH(F46,'Sac Parametreleri'!$A$11:$A$24,0)))</f>
        <v>18.84</v>
      </c>
      <c r="Q46" s="162">
        <f>INDEX('Sac Parametreleri'!$F$11:$F$24,MATCH(F46,'Sac Parametreleri'!$A$11:$A$24,0))</f>
        <v>7.7072727272727262</v>
      </c>
      <c r="R46" s="163">
        <f t="shared" si="3"/>
        <v>0.12324828272727273</v>
      </c>
      <c r="S46" s="163">
        <f t="shared" si="4"/>
        <v>0.12324828272727273</v>
      </c>
      <c r="T46" s="122">
        <f>K46*F46*'Sac Parametreleri'!$B$6*G46</f>
        <v>0.15029609999999999</v>
      </c>
      <c r="U46" s="122">
        <f>N46*F46*'Sac Parametreleri'!$B$6*G46</f>
        <v>6.3702750000000181E-3</v>
      </c>
      <c r="V46" s="122">
        <f>M46*F46*'Sac Parametreleri'!$B$6*G46</f>
        <v>0.15666637500000002</v>
      </c>
      <c r="W46" s="118" t="s">
        <v>85</v>
      </c>
    </row>
    <row r="47" spans="1:23" ht="15" customHeight="1" x14ac:dyDescent="0.25">
      <c r="A47" s="118" t="s">
        <v>545</v>
      </c>
      <c r="B47" s="118">
        <v>11</v>
      </c>
      <c r="C47" s="118" t="s">
        <v>843</v>
      </c>
      <c r="D47" s="118" t="s">
        <v>844</v>
      </c>
      <c r="E47" s="118" t="s">
        <v>1552</v>
      </c>
      <c r="F47" s="118">
        <v>3</v>
      </c>
      <c r="G47" s="118">
        <v>1</v>
      </c>
      <c r="H47" s="118" t="s">
        <v>1553</v>
      </c>
      <c r="I47" s="159">
        <v>62.3</v>
      </c>
      <c r="J47" s="159">
        <v>20</v>
      </c>
      <c r="K47" s="160">
        <v>1.0939999999999999E-3</v>
      </c>
      <c r="L47" s="160">
        <v>1.0399999999999999E-4</v>
      </c>
      <c r="M47" s="161">
        <f t="shared" si="0"/>
        <v>1.2459999999999999E-3</v>
      </c>
      <c r="N47" s="161">
        <f t="shared" si="1"/>
        <v>1.5200000000000001E-4</v>
      </c>
      <c r="O47" s="121">
        <f t="shared" si="2"/>
        <v>0.12199036918138043</v>
      </c>
      <c r="P47" s="162">
        <f>IF(E47="Hardox 450",INDEX('Sac Parametreleri'!$G$11:$G$24,MATCH(F47,'Sac Parametreleri'!$A$11:$A$24,0)),INDEX('Sac Parametreleri'!$E$11:$E$24,MATCH(F47,'Sac Parametreleri'!$A$11:$A$24,0)))</f>
        <v>18.84</v>
      </c>
      <c r="Q47" s="162">
        <f>INDEX('Sac Parametreleri'!$F$11:$F$24,MATCH(F47,'Sac Parametreleri'!$A$11:$A$24,0))</f>
        <v>7.7072727272727262</v>
      </c>
      <c r="R47" s="163">
        <f t="shared" si="3"/>
        <v>2.2303134545454545E-2</v>
      </c>
      <c r="S47" s="163">
        <f t="shared" si="4"/>
        <v>2.2303134545454545E-2</v>
      </c>
      <c r="T47" s="122">
        <f>K47*F47*'Sac Parametreleri'!$B$6*G47</f>
        <v>2.5763699999999997E-2</v>
      </c>
      <c r="U47" s="122">
        <f>N47*F47*'Sac Parametreleri'!$B$6*G47</f>
        <v>3.5796000000000001E-3</v>
      </c>
      <c r="V47" s="122">
        <f>M47*F47*'Sac Parametreleri'!$B$6*G47</f>
        <v>2.9343299999999999E-2</v>
      </c>
      <c r="W47" s="118" t="s">
        <v>85</v>
      </c>
    </row>
    <row r="48" spans="1:23" ht="15" customHeight="1" x14ac:dyDescent="0.25">
      <c r="A48" s="118" t="s">
        <v>545</v>
      </c>
      <c r="B48" s="118">
        <v>12</v>
      </c>
      <c r="C48" s="118" t="s">
        <v>845</v>
      </c>
      <c r="D48" s="118" t="s">
        <v>846</v>
      </c>
      <c r="E48" s="118" t="s">
        <v>1552</v>
      </c>
      <c r="F48" s="118">
        <v>3</v>
      </c>
      <c r="G48" s="118">
        <v>1</v>
      </c>
      <c r="H48" s="118" t="s">
        <v>1553</v>
      </c>
      <c r="I48" s="159">
        <v>62.3</v>
      </c>
      <c r="J48" s="159">
        <v>20</v>
      </c>
      <c r="K48" s="160">
        <v>1.0950000000000001E-3</v>
      </c>
      <c r="L48" s="160">
        <v>1.05E-4</v>
      </c>
      <c r="M48" s="161">
        <f t="shared" si="0"/>
        <v>1.2459999999999999E-3</v>
      </c>
      <c r="N48" s="161">
        <f t="shared" si="1"/>
        <v>1.5099999999999988E-4</v>
      </c>
      <c r="O48" s="121">
        <f t="shared" si="2"/>
        <v>0.12118780096308177</v>
      </c>
      <c r="P48" s="162">
        <f>IF(E48="Hardox 450",INDEX('Sac Parametreleri'!$G$11:$G$24,MATCH(F48,'Sac Parametreleri'!$A$11:$A$24,0)),INDEX('Sac Parametreleri'!$E$11:$E$24,MATCH(F48,'Sac Parametreleri'!$A$11:$A$24,0)))</f>
        <v>18.84</v>
      </c>
      <c r="Q48" s="162">
        <f>INDEX('Sac Parametreleri'!$F$11:$F$24,MATCH(F48,'Sac Parametreleri'!$A$11:$A$24,0))</f>
        <v>7.7072727272727262</v>
      </c>
      <c r="R48" s="163">
        <f t="shared" si="3"/>
        <v>2.2310841818181819E-2</v>
      </c>
      <c r="S48" s="163">
        <f t="shared" si="4"/>
        <v>2.2310841818181819E-2</v>
      </c>
      <c r="T48" s="122">
        <f>K48*F48*'Sac Parametreleri'!$B$6*G48</f>
        <v>2.5787250000000001E-2</v>
      </c>
      <c r="U48" s="122">
        <f>N48*F48*'Sac Parametreleri'!$B$6*G48</f>
        <v>3.5560499999999968E-3</v>
      </c>
      <c r="V48" s="122">
        <f>M48*F48*'Sac Parametreleri'!$B$6*G48</f>
        <v>2.9343299999999999E-2</v>
      </c>
      <c r="W48" s="118" t="s">
        <v>85</v>
      </c>
    </row>
    <row r="49" spans="1:23" ht="15" customHeight="1" x14ac:dyDescent="0.25">
      <c r="A49" s="118" t="s">
        <v>545</v>
      </c>
      <c r="B49" s="118">
        <v>14</v>
      </c>
      <c r="C49" s="118" t="s">
        <v>847</v>
      </c>
      <c r="D49" s="118" t="s">
        <v>848</v>
      </c>
      <c r="E49" s="118" t="s">
        <v>1552</v>
      </c>
      <c r="F49" s="118">
        <v>4</v>
      </c>
      <c r="G49" s="118">
        <v>1</v>
      </c>
      <c r="H49" s="118" t="s">
        <v>1553</v>
      </c>
      <c r="I49" s="159">
        <v>149.5</v>
      </c>
      <c r="J49" s="159">
        <v>84.6</v>
      </c>
      <c r="K49" s="160">
        <v>1.0369E-2</v>
      </c>
      <c r="L49" s="160">
        <v>3.6999999999999999E-4</v>
      </c>
      <c r="M49" s="161">
        <f t="shared" si="0"/>
        <v>1.26477E-2</v>
      </c>
      <c r="N49" s="161">
        <f t="shared" si="1"/>
        <v>2.2786999999999998E-3</v>
      </c>
      <c r="O49" s="121">
        <f t="shared" si="2"/>
        <v>0.18016714501450856</v>
      </c>
      <c r="P49" s="162">
        <f>IF(E49="Hardox 450",INDEX('Sac Parametreleri'!$G$11:$G$24,MATCH(F49,'Sac Parametreleri'!$A$11:$A$24,0)),INDEX('Sac Parametreleri'!$E$11:$E$24,MATCH(F49,'Sac Parametreleri'!$A$11:$A$24,0)))</f>
        <v>25.12</v>
      </c>
      <c r="Q49" s="162">
        <f>INDEX('Sac Parametreleri'!$F$11:$F$24,MATCH(F49,'Sac Parametreleri'!$A$11:$A$24,0))</f>
        <v>10.276363636363635</v>
      </c>
      <c r="R49" s="163">
        <f t="shared" si="3"/>
        <v>0.29429347418181817</v>
      </c>
      <c r="S49" s="163">
        <f t="shared" si="4"/>
        <v>0.29429347418181817</v>
      </c>
      <c r="T49" s="122">
        <f>K49*F49*'Sac Parametreleri'!$B$6*G49</f>
        <v>0.3255866</v>
      </c>
      <c r="U49" s="122">
        <f>N49*F49*'Sac Parametreleri'!$B$6*G49</f>
        <v>7.1551179999999992E-2</v>
      </c>
      <c r="V49" s="122">
        <f>M49*F49*'Sac Parametreleri'!$B$6*G49</f>
        <v>0.39713778</v>
      </c>
      <c r="W49" s="118" t="s">
        <v>85</v>
      </c>
    </row>
    <row r="50" spans="1:23" ht="15" customHeight="1" x14ac:dyDescent="0.25">
      <c r="A50" s="118" t="s">
        <v>545</v>
      </c>
      <c r="B50" s="118">
        <v>14</v>
      </c>
      <c r="C50" s="118" t="s">
        <v>1581</v>
      </c>
      <c r="D50" s="118" t="s">
        <v>848</v>
      </c>
      <c r="E50" s="118" t="s">
        <v>1552</v>
      </c>
      <c r="F50" s="118">
        <v>4</v>
      </c>
      <c r="G50" s="118">
        <v>2</v>
      </c>
      <c r="H50" s="118" t="s">
        <v>1551</v>
      </c>
      <c r="I50" s="159">
        <v>100.6</v>
      </c>
      <c r="J50" s="159">
        <v>35.799999999999997</v>
      </c>
      <c r="K50" s="160">
        <v>1.9750000000000002E-3</v>
      </c>
      <c r="L50" s="160">
        <v>0</v>
      </c>
      <c r="M50" s="161">
        <f t="shared" si="0"/>
        <v>3.6014799999999994E-3</v>
      </c>
      <c r="N50" s="161">
        <f t="shared" si="1"/>
        <v>1.6264799999999992E-3</v>
      </c>
      <c r="O50" s="121">
        <f t="shared" si="2"/>
        <v>0.45161433632839815</v>
      </c>
      <c r="P50" s="162">
        <f>IF(E50="Hardox 450",INDEX('Sac Parametreleri'!$G$11:$G$24,MATCH(F50,'Sac Parametreleri'!$A$11:$A$24,0)),INDEX('Sac Parametreleri'!$E$11:$E$24,MATCH(F50,'Sac Parametreleri'!$A$11:$A$24,0)))</f>
        <v>25.12</v>
      </c>
      <c r="Q50" s="162">
        <f>INDEX('Sac Parametreleri'!$F$11:$F$24,MATCH(F50,'Sac Parametreleri'!$A$11:$A$24,0))</f>
        <v>10.276363636363635</v>
      </c>
      <c r="R50" s="163">
        <f t="shared" si="3"/>
        <v>7.3754877672727273E-2</v>
      </c>
      <c r="S50" s="163">
        <f t="shared" si="4"/>
        <v>0.14750975534545455</v>
      </c>
      <c r="T50" s="122">
        <f>K50*F50*'Sac Parametreleri'!$B$6*G50</f>
        <v>0.12403</v>
      </c>
      <c r="U50" s="122">
        <f>N50*F50*'Sac Parametreleri'!$B$6*G50</f>
        <v>0.10214294399999994</v>
      </c>
      <c r="V50" s="122">
        <f>M50*F50*'Sac Parametreleri'!$B$6*G50</f>
        <v>0.22617294399999996</v>
      </c>
      <c r="W50" s="118" t="s">
        <v>85</v>
      </c>
    </row>
    <row r="51" spans="1:23" ht="15" customHeight="1" x14ac:dyDescent="0.25">
      <c r="A51" s="118" t="s">
        <v>545</v>
      </c>
      <c r="B51" s="118">
        <v>14</v>
      </c>
      <c r="C51" s="118" t="s">
        <v>849</v>
      </c>
      <c r="D51" s="118" t="s">
        <v>848</v>
      </c>
      <c r="E51" s="118" t="s">
        <v>1552</v>
      </c>
      <c r="F51" s="118">
        <v>4</v>
      </c>
      <c r="G51" s="118">
        <v>1</v>
      </c>
      <c r="H51" s="118" t="s">
        <v>1553</v>
      </c>
      <c r="I51" s="159">
        <v>149.5</v>
      </c>
      <c r="J51" s="159">
        <v>84.6</v>
      </c>
      <c r="K51" s="160">
        <v>1.0366999999999999E-2</v>
      </c>
      <c r="L51" s="160">
        <v>3.6999999999999999E-4</v>
      </c>
      <c r="M51" s="161">
        <f t="shared" si="0"/>
        <v>1.26477E-2</v>
      </c>
      <c r="N51" s="161">
        <f t="shared" si="1"/>
        <v>2.2807000000000001E-3</v>
      </c>
      <c r="O51" s="121">
        <f t="shared" si="2"/>
        <v>0.18032527653249208</v>
      </c>
      <c r="P51" s="162">
        <f>IF(E51="Hardox 450",INDEX('Sac Parametreleri'!$G$11:$G$24,MATCH(F51,'Sac Parametreleri'!$A$11:$A$24,0)),INDEX('Sac Parametreleri'!$E$11:$E$24,MATCH(F51,'Sac Parametreleri'!$A$11:$A$24,0)))</f>
        <v>25.12</v>
      </c>
      <c r="Q51" s="162">
        <f>INDEX('Sac Parametreleri'!$F$11:$F$24,MATCH(F51,'Sac Parametreleri'!$A$11:$A$24,0))</f>
        <v>10.276363636363635</v>
      </c>
      <c r="R51" s="163">
        <f t="shared" si="3"/>
        <v>0.29427292145454542</v>
      </c>
      <c r="S51" s="163">
        <f t="shared" si="4"/>
        <v>0.29427292145454542</v>
      </c>
      <c r="T51" s="122">
        <f>K51*F51*'Sac Parametreleri'!$B$6*G51</f>
        <v>0.32552379999999997</v>
      </c>
      <c r="U51" s="122">
        <f>N51*F51*'Sac Parametreleri'!$B$6*G51</f>
        <v>7.1613979999999994E-2</v>
      </c>
      <c r="V51" s="122">
        <f>M51*F51*'Sac Parametreleri'!$B$6*G51</f>
        <v>0.39713778</v>
      </c>
      <c r="W51" s="118" t="s">
        <v>85</v>
      </c>
    </row>
    <row r="52" spans="1:23" ht="15" customHeight="1" x14ac:dyDescent="0.25">
      <c r="A52" s="118" t="s">
        <v>545</v>
      </c>
      <c r="B52" s="118">
        <v>15</v>
      </c>
      <c r="C52" s="118" t="s">
        <v>850</v>
      </c>
      <c r="D52" s="118" t="s">
        <v>851</v>
      </c>
      <c r="E52" s="118" t="s">
        <v>1552</v>
      </c>
      <c r="F52" s="118">
        <v>4</v>
      </c>
      <c r="G52" s="118">
        <v>1</v>
      </c>
      <c r="H52" s="118" t="s">
        <v>1560</v>
      </c>
      <c r="I52" s="159">
        <v>170</v>
      </c>
      <c r="J52" s="159">
        <v>50</v>
      </c>
      <c r="K52" s="160">
        <v>7.9850000000000008E-3</v>
      </c>
      <c r="L52" s="160">
        <v>6.8999999999999997E-5</v>
      </c>
      <c r="M52" s="161">
        <f t="shared" si="0"/>
        <v>8.5000000000000006E-3</v>
      </c>
      <c r="N52" s="161">
        <f t="shared" si="1"/>
        <v>5.1499999999999983E-4</v>
      </c>
      <c r="O52" s="121">
        <f t="shared" si="2"/>
        <v>6.0588235294117623E-2</v>
      </c>
      <c r="P52" s="162">
        <f>IF(E52="Hardox 450",INDEX('Sac Parametreleri'!$G$11:$G$24,MATCH(F52,'Sac Parametreleri'!$A$11:$A$24,0)),INDEX('Sac Parametreleri'!$E$11:$E$24,MATCH(F52,'Sac Parametreleri'!$A$11:$A$24,0)))</f>
        <v>25.12</v>
      </c>
      <c r="Q52" s="162">
        <f>INDEX('Sac Parametreleri'!$F$11:$F$24,MATCH(F52,'Sac Parametreleri'!$A$11:$A$24,0))</f>
        <v>10.276363636363635</v>
      </c>
      <c r="R52" s="163">
        <f t="shared" si="3"/>
        <v>0.20822767272727274</v>
      </c>
      <c r="S52" s="163">
        <f t="shared" si="4"/>
        <v>0.20822767272727274</v>
      </c>
      <c r="T52" s="122">
        <f>K52*F52*'Sac Parametreleri'!$B$6*G52</f>
        <v>0.25072900000000004</v>
      </c>
      <c r="U52" s="122">
        <f>N52*F52*'Sac Parametreleri'!$B$6*G52</f>
        <v>1.6170999999999994E-2</v>
      </c>
      <c r="V52" s="122">
        <f>M52*F52*'Sac Parametreleri'!$B$6*G52</f>
        <v>0.26690000000000003</v>
      </c>
      <c r="W52" s="118" t="s">
        <v>85</v>
      </c>
    </row>
    <row r="53" spans="1:23" ht="15" customHeight="1" x14ac:dyDescent="0.25">
      <c r="A53" s="118" t="s">
        <v>510</v>
      </c>
      <c r="B53" s="118">
        <v>1</v>
      </c>
      <c r="C53" s="118" t="s">
        <v>1582</v>
      </c>
      <c r="D53" s="118" t="s">
        <v>1583</v>
      </c>
      <c r="E53" s="118" t="s">
        <v>1552</v>
      </c>
      <c r="F53" s="118">
        <v>5</v>
      </c>
      <c r="G53" s="118">
        <v>1</v>
      </c>
      <c r="H53" s="118" t="s">
        <v>1551</v>
      </c>
      <c r="I53" s="159">
        <v>1002</v>
      </c>
      <c r="J53" s="159">
        <v>883</v>
      </c>
      <c r="K53" s="160">
        <v>0.27454400000000001</v>
      </c>
      <c r="L53" s="160">
        <v>0.12053800000000001</v>
      </c>
      <c r="M53" s="161">
        <f t="shared" si="0"/>
        <v>0.88476600000000005</v>
      </c>
      <c r="N53" s="161">
        <f t="shared" si="1"/>
        <v>0.61022200000000004</v>
      </c>
      <c r="O53" s="121">
        <f t="shared" si="2"/>
        <v>0.68969874520494689</v>
      </c>
      <c r="P53" s="162">
        <f>IF(E53="Hardox 450",INDEX('Sac Parametreleri'!$G$11:$G$24,MATCH(F53,'Sac Parametreleri'!$A$11:$A$24,0)),INDEX('Sac Parametreleri'!$E$11:$E$24,MATCH(F53,'Sac Parametreleri'!$A$11:$A$24,0)))</f>
        <v>31.400000000000002</v>
      </c>
      <c r="Q53" s="162">
        <f>INDEX('Sac Parametreleri'!$F$11:$F$24,MATCH(F53,'Sac Parametreleri'!$A$11:$A$24,0))</f>
        <v>12.845454545454546</v>
      </c>
      <c r="R53" s="163">
        <f t="shared" si="3"/>
        <v>19.943073436363637</v>
      </c>
      <c r="S53" s="163">
        <f t="shared" si="4"/>
        <v>19.943073436363637</v>
      </c>
      <c r="T53" s="122">
        <f>K53*F53*'Sac Parametreleri'!$B$6*G53</f>
        <v>10.775852</v>
      </c>
      <c r="U53" s="122">
        <f>N53*F53*'Sac Parametreleri'!$B$6*G53</f>
        <v>23.951213500000001</v>
      </c>
      <c r="V53" s="122">
        <f>M53*F53*'Sac Parametreleri'!$B$6*G53</f>
        <v>34.727065500000002</v>
      </c>
      <c r="W53" s="118" t="s">
        <v>85</v>
      </c>
    </row>
    <row r="54" spans="1:23" ht="15" customHeight="1" x14ac:dyDescent="0.25">
      <c r="A54" s="118" t="s">
        <v>510</v>
      </c>
      <c r="B54" s="118">
        <v>2</v>
      </c>
      <c r="C54" s="118" t="s">
        <v>1584</v>
      </c>
      <c r="D54" s="118" t="s">
        <v>1583</v>
      </c>
      <c r="E54" s="118" t="s">
        <v>1552</v>
      </c>
      <c r="F54" s="118">
        <v>5</v>
      </c>
      <c r="G54" s="118">
        <v>1</v>
      </c>
      <c r="H54" s="118" t="s">
        <v>1551</v>
      </c>
      <c r="I54" s="159">
        <v>1002</v>
      </c>
      <c r="J54" s="159">
        <v>883</v>
      </c>
      <c r="K54" s="160">
        <v>0.23603399999999999</v>
      </c>
      <c r="L54" s="160">
        <v>2.1167999999999999E-2</v>
      </c>
      <c r="M54" s="161">
        <f t="shared" si="0"/>
        <v>0.88476600000000005</v>
      </c>
      <c r="N54" s="161">
        <f t="shared" si="1"/>
        <v>0.64873200000000009</v>
      </c>
      <c r="O54" s="121">
        <f t="shared" si="2"/>
        <v>0.73322437797112461</v>
      </c>
      <c r="P54" s="162">
        <f>IF(E54="Hardox 450",INDEX('Sac Parametreleri'!$G$11:$G$24,MATCH(F54,'Sac Parametreleri'!$A$11:$A$24,0)),INDEX('Sac Parametreleri'!$E$11:$E$24,MATCH(F54,'Sac Parametreleri'!$A$11:$A$24,0)))</f>
        <v>31.400000000000002</v>
      </c>
      <c r="Q54" s="162">
        <f>INDEX('Sac Parametreleri'!$F$11:$F$24,MATCH(F54,'Sac Parametreleri'!$A$11:$A$24,0))</f>
        <v>12.845454545454546</v>
      </c>
      <c r="R54" s="163">
        <f t="shared" si="3"/>
        <v>19.448394981818183</v>
      </c>
      <c r="S54" s="163">
        <f t="shared" si="4"/>
        <v>19.448394981818183</v>
      </c>
      <c r="T54" s="122">
        <f>K54*F54*'Sac Parametreleri'!$B$6*G54</f>
        <v>9.2643344999999986</v>
      </c>
      <c r="U54" s="122">
        <f>N54*F54*'Sac Parametreleri'!$B$6*G54</f>
        <v>25.462731000000002</v>
      </c>
      <c r="V54" s="122">
        <f>M54*F54*'Sac Parametreleri'!$B$6*G54</f>
        <v>34.727065500000002</v>
      </c>
      <c r="W54" s="118" t="s">
        <v>85</v>
      </c>
    </row>
    <row r="55" spans="1:23" ht="15" customHeight="1" x14ac:dyDescent="0.25">
      <c r="A55" s="118" t="s">
        <v>510</v>
      </c>
      <c r="B55" s="118">
        <v>3</v>
      </c>
      <c r="C55" s="118" t="s">
        <v>756</v>
      </c>
      <c r="D55" s="118" t="s">
        <v>757</v>
      </c>
      <c r="E55" s="118" t="s">
        <v>1552</v>
      </c>
      <c r="F55" s="118">
        <v>5</v>
      </c>
      <c r="G55" s="118">
        <v>1</v>
      </c>
      <c r="H55" s="118" t="s">
        <v>1560</v>
      </c>
      <c r="I55" s="159">
        <v>1076.7</v>
      </c>
      <c r="J55" s="159">
        <v>140</v>
      </c>
      <c r="K55" s="160">
        <v>0.13880400000000001</v>
      </c>
      <c r="L55" s="160">
        <v>1.1155E-2</v>
      </c>
      <c r="M55" s="161">
        <f t="shared" si="0"/>
        <v>0.15073800000000001</v>
      </c>
      <c r="N55" s="161">
        <f t="shared" si="1"/>
        <v>1.1934E-2</v>
      </c>
      <c r="O55" s="121">
        <f t="shared" si="2"/>
        <v>7.9170481232336901E-2</v>
      </c>
      <c r="P55" s="162">
        <f>IF(E55="Hardox 450",INDEX('Sac Parametreleri'!$G$11:$G$24,MATCH(F55,'Sac Parametreleri'!$A$11:$A$24,0)),INDEX('Sac Parametreleri'!$E$11:$E$24,MATCH(F55,'Sac Parametreleri'!$A$11:$A$24,0)))</f>
        <v>31.400000000000002</v>
      </c>
      <c r="Q55" s="162">
        <f>INDEX('Sac Parametreleri'!$F$11:$F$24,MATCH(F55,'Sac Parametreleri'!$A$11:$A$24,0))</f>
        <v>12.845454545454546</v>
      </c>
      <c r="R55" s="163">
        <f t="shared" si="3"/>
        <v>4.5798755454545459</v>
      </c>
      <c r="S55" s="163">
        <f t="shared" si="4"/>
        <v>4.5798755454545459</v>
      </c>
      <c r="T55" s="122">
        <f>K55*F55*'Sac Parametreleri'!$B$6*G55</f>
        <v>5.4480570000000004</v>
      </c>
      <c r="U55" s="122">
        <f>N55*F55*'Sac Parametreleri'!$B$6*G55</f>
        <v>0.46840949999999998</v>
      </c>
      <c r="V55" s="122">
        <f>M55*F55*'Sac Parametreleri'!$B$6*G55</f>
        <v>5.9164665000000003</v>
      </c>
      <c r="W55" s="118" t="s">
        <v>85</v>
      </c>
    </row>
    <row r="56" spans="1:23" ht="15" customHeight="1" x14ac:dyDescent="0.25">
      <c r="A56" s="118" t="s">
        <v>510</v>
      </c>
      <c r="B56" s="118">
        <v>4</v>
      </c>
      <c r="C56" s="118" t="s">
        <v>758</v>
      </c>
      <c r="D56" s="118" t="s">
        <v>759</v>
      </c>
      <c r="E56" s="118" t="s">
        <v>1552</v>
      </c>
      <c r="F56" s="118">
        <v>5</v>
      </c>
      <c r="G56" s="118">
        <v>1</v>
      </c>
      <c r="H56" s="118" t="s">
        <v>1560</v>
      </c>
      <c r="I56" s="159">
        <v>1056.4000000000001</v>
      </c>
      <c r="J56" s="159">
        <v>140</v>
      </c>
      <c r="K56" s="160">
        <v>0.130499</v>
      </c>
      <c r="L56" s="160">
        <v>1.6605999999999999E-2</v>
      </c>
      <c r="M56" s="161">
        <f t="shared" si="0"/>
        <v>0.147896</v>
      </c>
      <c r="N56" s="161">
        <f t="shared" si="1"/>
        <v>1.7396999999999996E-2</v>
      </c>
      <c r="O56" s="121">
        <f t="shared" si="2"/>
        <v>0.11762995618542757</v>
      </c>
      <c r="P56" s="162">
        <f>IF(E56="Hardox 450",INDEX('Sac Parametreleri'!$G$11:$G$24,MATCH(F56,'Sac Parametreleri'!$A$11:$A$24,0)),INDEX('Sac Parametreleri'!$E$11:$E$24,MATCH(F56,'Sac Parametreleri'!$A$11:$A$24,0)))</f>
        <v>31.400000000000002</v>
      </c>
      <c r="Q56" s="162">
        <f>INDEX('Sac Parametreleri'!$F$11:$F$24,MATCH(F56,'Sac Parametreleri'!$A$11:$A$24,0))</f>
        <v>12.845454545454546</v>
      </c>
      <c r="R56" s="163">
        <f t="shared" si="3"/>
        <v>4.4204620272727277</v>
      </c>
      <c r="S56" s="163">
        <f t="shared" si="4"/>
        <v>4.4204620272727277</v>
      </c>
      <c r="T56" s="122">
        <f>K56*F56*'Sac Parametreleri'!$B$6*G56</f>
        <v>5.1220857500000001</v>
      </c>
      <c r="U56" s="122">
        <f>N56*F56*'Sac Parametreleri'!$B$6*G56</f>
        <v>0.68283224999999981</v>
      </c>
      <c r="V56" s="122">
        <f>M56*F56*'Sac Parametreleri'!$B$6*G56</f>
        <v>5.8049179999999998</v>
      </c>
      <c r="W56" s="118" t="s">
        <v>85</v>
      </c>
    </row>
    <row r="57" spans="1:23" ht="15" customHeight="1" x14ac:dyDescent="0.25">
      <c r="A57" s="118" t="s">
        <v>510</v>
      </c>
      <c r="B57" s="118">
        <v>5</v>
      </c>
      <c r="C57" s="118" t="s">
        <v>760</v>
      </c>
      <c r="D57" s="118" t="s">
        <v>761</v>
      </c>
      <c r="E57" s="118" t="s">
        <v>1552</v>
      </c>
      <c r="F57" s="118">
        <v>5</v>
      </c>
      <c r="G57" s="118">
        <v>1</v>
      </c>
      <c r="H57" s="118" t="s">
        <v>1554</v>
      </c>
      <c r="I57" s="159">
        <v>1744.9</v>
      </c>
      <c r="J57" s="159">
        <v>114</v>
      </c>
      <c r="K57" s="160">
        <v>0.13864499999999999</v>
      </c>
      <c r="L57" s="160">
        <v>4.3298999999999997E-2</v>
      </c>
      <c r="M57" s="161">
        <f t="shared" si="0"/>
        <v>0.1989186</v>
      </c>
      <c r="N57" s="161">
        <f t="shared" si="1"/>
        <v>6.0273600000000011E-2</v>
      </c>
      <c r="O57" s="121">
        <f t="shared" si="2"/>
        <v>0.30300635536345022</v>
      </c>
      <c r="P57" s="162">
        <f>IF(E57="Hardox 450",INDEX('Sac Parametreleri'!$G$11:$G$24,MATCH(F57,'Sac Parametreleri'!$A$11:$A$24,0)),INDEX('Sac Parametreleri'!$E$11:$E$24,MATCH(F57,'Sac Parametreleri'!$A$11:$A$24,0)))</f>
        <v>31.400000000000002</v>
      </c>
      <c r="Q57" s="162">
        <f>INDEX('Sac Parametreleri'!$F$11:$F$24,MATCH(F57,'Sac Parametreleri'!$A$11:$A$24,0))</f>
        <v>12.845454545454546</v>
      </c>
      <c r="R57" s="163">
        <f t="shared" si="3"/>
        <v>5.4718022509090911</v>
      </c>
      <c r="S57" s="163">
        <f t="shared" si="4"/>
        <v>5.4718022509090911</v>
      </c>
      <c r="T57" s="122">
        <f>K57*F57*'Sac Parametreleri'!$B$6*G57</f>
        <v>5.4418162499999996</v>
      </c>
      <c r="U57" s="122">
        <f>N57*F57*'Sac Parametreleri'!$B$6*G57</f>
        <v>2.3657388000000004</v>
      </c>
      <c r="V57" s="122">
        <f>M57*F57*'Sac Parametreleri'!$B$6*G57</f>
        <v>7.8075550500000004</v>
      </c>
      <c r="W57" s="118" t="s">
        <v>85</v>
      </c>
    </row>
    <row r="58" spans="1:23" ht="15" customHeight="1" x14ac:dyDescent="0.25">
      <c r="A58" s="118" t="s">
        <v>510</v>
      </c>
      <c r="B58" s="118">
        <v>6</v>
      </c>
      <c r="C58" s="118" t="s">
        <v>762</v>
      </c>
      <c r="D58" s="118" t="s">
        <v>763</v>
      </c>
      <c r="E58" s="118" t="s">
        <v>1552</v>
      </c>
      <c r="F58" s="118">
        <v>5</v>
      </c>
      <c r="G58" s="118">
        <v>1</v>
      </c>
      <c r="H58" s="118" t="s">
        <v>1568</v>
      </c>
      <c r="I58" s="159">
        <v>798.8</v>
      </c>
      <c r="J58" s="159">
        <v>140</v>
      </c>
      <c r="K58" s="160">
        <v>0.110753</v>
      </c>
      <c r="L58" s="160">
        <v>1.0859999999999999E-3</v>
      </c>
      <c r="M58" s="161">
        <f t="shared" si="0"/>
        <v>0.111832</v>
      </c>
      <c r="N58" s="161">
        <f t="shared" si="1"/>
        <v>1.0789999999999966E-3</v>
      </c>
      <c r="O58" s="121">
        <f t="shared" si="2"/>
        <v>9.648401173188324E-3</v>
      </c>
      <c r="P58" s="162">
        <f>IF(E58="Hardox 450",INDEX('Sac Parametreleri'!$G$11:$G$24,MATCH(F58,'Sac Parametreleri'!$A$11:$A$24,0)),INDEX('Sac Parametreleri'!$E$11:$E$24,MATCH(F58,'Sac Parametreleri'!$A$11:$A$24,0)))</f>
        <v>31.400000000000002</v>
      </c>
      <c r="Q58" s="162">
        <f>INDEX('Sac Parametreleri'!$F$11:$F$24,MATCH(F58,'Sac Parametreleri'!$A$11:$A$24,0))</f>
        <v>12.845454545454546</v>
      </c>
      <c r="R58" s="163">
        <f t="shared" si="3"/>
        <v>3.4976645545454548</v>
      </c>
      <c r="S58" s="163">
        <f t="shared" si="4"/>
        <v>3.4976645545454548</v>
      </c>
      <c r="T58" s="122">
        <f>K58*F58*'Sac Parametreleri'!$B$6*G58</f>
        <v>4.3470552500000004</v>
      </c>
      <c r="U58" s="122">
        <f>N58*F58*'Sac Parametreleri'!$B$6*G58</f>
        <v>4.2350749999999868E-2</v>
      </c>
      <c r="V58" s="122">
        <f>M58*F58*'Sac Parametreleri'!$B$6*G58</f>
        <v>4.3894060000000001</v>
      </c>
      <c r="W58" s="118" t="s">
        <v>85</v>
      </c>
    </row>
    <row r="59" spans="1:23" ht="15" customHeight="1" x14ac:dyDescent="0.25">
      <c r="A59" s="118" t="s">
        <v>510</v>
      </c>
      <c r="B59" s="118">
        <v>7</v>
      </c>
      <c r="C59" s="118" t="s">
        <v>1561</v>
      </c>
      <c r="D59" s="118" t="s">
        <v>1565</v>
      </c>
      <c r="E59" s="118" t="s">
        <v>1552</v>
      </c>
      <c r="F59" s="118">
        <v>12</v>
      </c>
      <c r="G59" s="118">
        <v>2</v>
      </c>
      <c r="H59" s="118" t="s">
        <v>1551</v>
      </c>
      <c r="I59" s="159">
        <v>220</v>
      </c>
      <c r="J59" s="159">
        <v>140</v>
      </c>
      <c r="K59" s="160">
        <v>2.9749000000000001E-2</v>
      </c>
      <c r="L59" s="160">
        <v>9.41E-4</v>
      </c>
      <c r="M59" s="161">
        <f t="shared" si="0"/>
        <v>3.0800000000000001E-2</v>
      </c>
      <c r="N59" s="161">
        <f t="shared" si="1"/>
        <v>1.0509999999999999E-3</v>
      </c>
      <c r="O59" s="121">
        <f t="shared" si="2"/>
        <v>3.4123376623376618E-2</v>
      </c>
      <c r="P59" s="162">
        <f>IF(E59="Hardox 450",INDEX('Sac Parametreleri'!$G$11:$G$24,MATCH(F59,'Sac Parametreleri'!$A$11:$A$24,0)),INDEX('Sac Parametreleri'!$E$11:$E$24,MATCH(F59,'Sac Parametreleri'!$A$11:$A$24,0)))</f>
        <v>75.36</v>
      </c>
      <c r="Q59" s="162">
        <f>INDEX('Sac Parametreleri'!$F$11:$F$24,MATCH(F59,'Sac Parametreleri'!$A$11:$A$24,0))</f>
        <v>30.829090909090905</v>
      </c>
      <c r="R59" s="163">
        <f t="shared" si="3"/>
        <v>2.2886866254545457</v>
      </c>
      <c r="S59" s="163">
        <f t="shared" si="4"/>
        <v>4.5773732509090914</v>
      </c>
      <c r="T59" s="122">
        <f>K59*F59*'Sac Parametreleri'!$B$6*G59</f>
        <v>5.6047115999999999</v>
      </c>
      <c r="U59" s="122">
        <f>N59*F59*'Sac Parametreleri'!$B$6*G59</f>
        <v>0.19800839999999997</v>
      </c>
      <c r="V59" s="122">
        <f>M59*F59*'Sac Parametreleri'!$B$6*G59</f>
        <v>5.8027200000000008</v>
      </c>
      <c r="W59" s="118" t="s">
        <v>85</v>
      </c>
    </row>
    <row r="60" spans="1:23" ht="15" customHeight="1" x14ac:dyDescent="0.25">
      <c r="A60" s="118" t="s">
        <v>454</v>
      </c>
      <c r="B60" s="118">
        <v>1</v>
      </c>
      <c r="C60" s="118" t="s">
        <v>1004</v>
      </c>
      <c r="D60" s="118" t="s">
        <v>1005</v>
      </c>
      <c r="E60" s="118" t="s">
        <v>1552</v>
      </c>
      <c r="F60" s="118">
        <v>3</v>
      </c>
      <c r="G60" s="118">
        <v>2</v>
      </c>
      <c r="H60" s="118" t="s">
        <v>1560</v>
      </c>
      <c r="I60" s="159">
        <v>2300</v>
      </c>
      <c r="J60" s="159">
        <v>235.5</v>
      </c>
      <c r="K60" s="160">
        <v>0.54156300000000002</v>
      </c>
      <c r="L60" s="160">
        <v>0</v>
      </c>
      <c r="M60" s="161">
        <f t="shared" si="0"/>
        <v>0.54164999999999996</v>
      </c>
      <c r="N60" s="161">
        <f t="shared" si="1"/>
        <v>8.699999999994823E-5</v>
      </c>
      <c r="O60" s="121">
        <f t="shared" si="2"/>
        <v>1.6062032677918996E-4</v>
      </c>
      <c r="P60" s="162">
        <f>IF(E60="Hardox 450",INDEX('Sac Parametreleri'!$G$11:$G$24,MATCH(F60,'Sac Parametreleri'!$A$11:$A$24,0)),INDEX('Sac Parametreleri'!$E$11:$E$24,MATCH(F60,'Sac Parametreleri'!$A$11:$A$24,0)))</f>
        <v>18.84</v>
      </c>
      <c r="Q60" s="162">
        <f>INDEX('Sac Parametreleri'!$F$11:$F$24,MATCH(F60,'Sac Parametreleri'!$A$11:$A$24,0))</f>
        <v>7.7072727272727262</v>
      </c>
      <c r="R60" s="163">
        <f t="shared" si="3"/>
        <v>10.204015467272727</v>
      </c>
      <c r="S60" s="163">
        <f t="shared" si="4"/>
        <v>20.408030934545454</v>
      </c>
      <c r="T60" s="122">
        <f>K60*F60*'Sac Parametreleri'!$B$6*G60</f>
        <v>25.5076173</v>
      </c>
      <c r="U60" s="122">
        <f>N60*F60*'Sac Parametreleri'!$B$6*G60</f>
        <v>4.0976999999975611E-3</v>
      </c>
      <c r="V60" s="122">
        <f>M60*F60*'Sac Parametreleri'!$B$6*G60</f>
        <v>25.511714999999999</v>
      </c>
      <c r="W60" s="118" t="s">
        <v>85</v>
      </c>
    </row>
    <row r="61" spans="1:23" ht="15" customHeight="1" x14ac:dyDescent="0.25">
      <c r="A61" s="118" t="s">
        <v>454</v>
      </c>
      <c r="B61" s="118">
        <v>1</v>
      </c>
      <c r="C61" s="118" t="s">
        <v>1585</v>
      </c>
      <c r="D61" s="118" t="s">
        <v>1005</v>
      </c>
      <c r="E61" s="118" t="s">
        <v>1552</v>
      </c>
      <c r="F61" s="118">
        <v>3</v>
      </c>
      <c r="G61" s="118">
        <v>1</v>
      </c>
      <c r="H61" s="118" t="s">
        <v>1551</v>
      </c>
      <c r="I61" s="159">
        <v>2300</v>
      </c>
      <c r="J61" s="159">
        <v>96</v>
      </c>
      <c r="K61" s="160">
        <v>0.2208</v>
      </c>
      <c r="L61" s="160">
        <v>0</v>
      </c>
      <c r="M61" s="161">
        <f t="shared" si="0"/>
        <v>0.2208</v>
      </c>
      <c r="N61" s="161">
        <f t="shared" si="1"/>
        <v>0</v>
      </c>
      <c r="O61" s="121">
        <f t="shared" si="2"/>
        <v>0</v>
      </c>
      <c r="P61" s="162">
        <f>IF(E61="Hardox 450",INDEX('Sac Parametreleri'!$G$11:$G$24,MATCH(F61,'Sac Parametreleri'!$A$11:$A$24,0)),INDEX('Sac Parametreleri'!$E$11:$E$24,MATCH(F61,'Sac Parametreleri'!$A$11:$A$24,0)))</f>
        <v>18.84</v>
      </c>
      <c r="Q61" s="162">
        <f>INDEX('Sac Parametreleri'!$F$11:$F$24,MATCH(F61,'Sac Parametreleri'!$A$11:$A$24,0))</f>
        <v>7.7072727272727262</v>
      </c>
      <c r="R61" s="163">
        <f t="shared" si="3"/>
        <v>4.159872</v>
      </c>
      <c r="S61" s="163">
        <f t="shared" si="4"/>
        <v>4.159872</v>
      </c>
      <c r="T61" s="122">
        <f>K61*F61*'Sac Parametreleri'!$B$6*G61</f>
        <v>5.19984</v>
      </c>
      <c r="U61" s="122">
        <f>N61*F61*'Sac Parametreleri'!$B$6*G61</f>
        <v>0</v>
      </c>
      <c r="V61" s="122">
        <f>M61*F61*'Sac Parametreleri'!$B$6*G61</f>
        <v>5.19984</v>
      </c>
      <c r="W61" s="118" t="s">
        <v>85</v>
      </c>
    </row>
    <row r="62" spans="1:23" ht="15" customHeight="1" x14ac:dyDescent="0.25">
      <c r="A62" s="118" t="s">
        <v>454</v>
      </c>
      <c r="B62" s="118">
        <v>1</v>
      </c>
      <c r="C62" s="118" t="s">
        <v>1586</v>
      </c>
      <c r="D62" s="118" t="s">
        <v>1005</v>
      </c>
      <c r="E62" s="118" t="s">
        <v>1552</v>
      </c>
      <c r="F62" s="118">
        <v>3</v>
      </c>
      <c r="G62" s="118">
        <v>2</v>
      </c>
      <c r="H62" s="118" t="s">
        <v>1551</v>
      </c>
      <c r="I62" s="159">
        <v>144</v>
      </c>
      <c r="J62" s="159">
        <v>94</v>
      </c>
      <c r="K62" s="160">
        <v>1.3511E-2</v>
      </c>
      <c r="L62" s="160">
        <v>0</v>
      </c>
      <c r="M62" s="161">
        <f t="shared" si="0"/>
        <v>1.3535999999999999E-2</v>
      </c>
      <c r="N62" s="161">
        <f t="shared" si="1"/>
        <v>2.4999999999998981E-5</v>
      </c>
      <c r="O62" s="121">
        <f t="shared" si="2"/>
        <v>1.8469267139479154E-3</v>
      </c>
      <c r="P62" s="162">
        <f>IF(E62="Hardox 450",INDEX('Sac Parametreleri'!$G$11:$G$24,MATCH(F62,'Sac Parametreleri'!$A$11:$A$24,0)),INDEX('Sac Parametreleri'!$E$11:$E$24,MATCH(F62,'Sac Parametreleri'!$A$11:$A$24,0)))</f>
        <v>18.84</v>
      </c>
      <c r="Q62" s="162">
        <f>INDEX('Sac Parametreleri'!$F$11:$F$24,MATCH(F62,'Sac Parametreleri'!$A$11:$A$24,0))</f>
        <v>7.7072727272727262</v>
      </c>
      <c r="R62" s="163">
        <f t="shared" si="3"/>
        <v>0.25482555818181818</v>
      </c>
      <c r="S62" s="163">
        <f t="shared" si="4"/>
        <v>0.50965111636363636</v>
      </c>
      <c r="T62" s="122">
        <f>K62*F62*'Sac Parametreleri'!$B$6*G62</f>
        <v>0.63636809999999999</v>
      </c>
      <c r="U62" s="122">
        <f>N62*F62*'Sac Parametreleri'!$B$6*G62</f>
        <v>1.177499999999952E-3</v>
      </c>
      <c r="V62" s="122">
        <f>M62*F62*'Sac Parametreleri'!$B$6*G62</f>
        <v>0.63754559999999993</v>
      </c>
      <c r="W62" s="118" t="s">
        <v>85</v>
      </c>
    </row>
    <row r="63" spans="1:23" ht="15" customHeight="1" x14ac:dyDescent="0.25">
      <c r="A63" s="118" t="s">
        <v>454</v>
      </c>
      <c r="B63" s="118">
        <v>2</v>
      </c>
      <c r="C63" s="118" t="s">
        <v>1587</v>
      </c>
      <c r="D63" s="118" t="s">
        <v>700</v>
      </c>
      <c r="E63" s="118" t="s">
        <v>1552</v>
      </c>
      <c r="F63" s="118">
        <v>15</v>
      </c>
      <c r="G63" s="118">
        <v>2</v>
      </c>
      <c r="H63" s="118" t="s">
        <v>1551</v>
      </c>
      <c r="I63" s="159">
        <v>360</v>
      </c>
      <c r="J63" s="159">
        <v>110</v>
      </c>
      <c r="K63" s="160">
        <v>3.2037999999999997E-2</v>
      </c>
      <c r="L63" s="160">
        <v>7.3480000000000004E-3</v>
      </c>
      <c r="M63" s="161">
        <f t="shared" si="0"/>
        <v>3.9600000000000003E-2</v>
      </c>
      <c r="N63" s="161">
        <f t="shared" si="1"/>
        <v>7.5620000000000062E-3</v>
      </c>
      <c r="O63" s="121">
        <f t="shared" si="2"/>
        <v>0.19095959595959611</v>
      </c>
      <c r="P63" s="162">
        <f>IF(E63="Hardox 450",INDEX('Sac Parametreleri'!$G$11:$G$24,MATCH(F63,'Sac Parametreleri'!$A$11:$A$24,0)),INDEX('Sac Parametreleri'!$E$11:$E$24,MATCH(F63,'Sac Parametreleri'!$A$11:$A$24,0)))</f>
        <v>94.2</v>
      </c>
      <c r="Q63" s="162">
        <f>INDEX('Sac Parametreleri'!$F$11:$F$24,MATCH(F63,'Sac Parametreleri'!$A$11:$A$24,0))</f>
        <v>38.536363636363639</v>
      </c>
      <c r="R63" s="163">
        <f t="shared" si="3"/>
        <v>3.4389080181818183</v>
      </c>
      <c r="S63" s="163">
        <f t="shared" si="4"/>
        <v>6.8778160363636367</v>
      </c>
      <c r="T63" s="122">
        <f>K63*F63*'Sac Parametreleri'!$B$6*G63</f>
        <v>7.544948999999999</v>
      </c>
      <c r="U63" s="122">
        <f>N63*F63*'Sac Parametreleri'!$B$6*G63</f>
        <v>1.7808510000000013</v>
      </c>
      <c r="V63" s="122">
        <f>M63*F63*'Sac Parametreleri'!$B$6*G63</f>
        <v>9.325800000000001</v>
      </c>
      <c r="W63" s="118" t="s">
        <v>85</v>
      </c>
    </row>
    <row r="64" spans="1:23" ht="15" customHeight="1" x14ac:dyDescent="0.25">
      <c r="A64" s="118" t="s">
        <v>444</v>
      </c>
      <c r="B64" s="118">
        <v>1</v>
      </c>
      <c r="C64" s="118" t="s">
        <v>1588</v>
      </c>
      <c r="D64" s="118" t="s">
        <v>1589</v>
      </c>
      <c r="E64" s="118" t="s">
        <v>1552</v>
      </c>
      <c r="F64" s="118">
        <v>15</v>
      </c>
      <c r="G64" s="118">
        <v>1</v>
      </c>
      <c r="H64" s="118" t="s">
        <v>1551</v>
      </c>
      <c r="I64" s="159">
        <v>500</v>
      </c>
      <c r="J64" s="159">
        <v>275</v>
      </c>
      <c r="K64" s="160">
        <v>9.0216000000000005E-2</v>
      </c>
      <c r="L64" s="160">
        <v>1.9941E-2</v>
      </c>
      <c r="M64" s="161">
        <f t="shared" si="0"/>
        <v>0.13750000000000001</v>
      </c>
      <c r="N64" s="161">
        <f t="shared" si="1"/>
        <v>4.7284000000000007E-2</v>
      </c>
      <c r="O64" s="121">
        <f t="shared" si="2"/>
        <v>0.34388363636363639</v>
      </c>
      <c r="P64" s="162">
        <f>IF(E64="Hardox 450",INDEX('Sac Parametreleri'!$G$11:$G$24,MATCH(F64,'Sac Parametreleri'!$A$11:$A$24,0)),INDEX('Sac Parametreleri'!$E$11:$E$24,MATCH(F64,'Sac Parametreleri'!$A$11:$A$24,0)))</f>
        <v>94.2</v>
      </c>
      <c r="Q64" s="162">
        <f>INDEX('Sac Parametreleri'!$F$11:$F$24,MATCH(F64,'Sac Parametreleri'!$A$11:$A$24,0))</f>
        <v>38.536363636363639</v>
      </c>
      <c r="R64" s="163">
        <f t="shared" si="3"/>
        <v>11.130346581818182</v>
      </c>
      <c r="S64" s="163">
        <f t="shared" si="4"/>
        <v>11.130346581818182</v>
      </c>
      <c r="T64" s="122">
        <f>K64*F64*'Sac Parametreleri'!$B$6*G64</f>
        <v>10.622933999999999</v>
      </c>
      <c r="U64" s="122">
        <f>N64*F64*'Sac Parametreleri'!$B$6*G64</f>
        <v>5.5676910000000008</v>
      </c>
      <c r="V64" s="122">
        <f>M64*F64*'Sac Parametreleri'!$B$6*G64</f>
        <v>16.190625000000001</v>
      </c>
      <c r="W64" s="118" t="s">
        <v>85</v>
      </c>
    </row>
    <row r="65" spans="1:23" ht="15" customHeight="1" x14ac:dyDescent="0.25">
      <c r="A65" s="118" t="s">
        <v>444</v>
      </c>
      <c r="B65" s="118">
        <v>2</v>
      </c>
      <c r="C65" s="118" t="s">
        <v>727</v>
      </c>
      <c r="D65" s="118" t="s">
        <v>728</v>
      </c>
      <c r="E65" s="118" t="s">
        <v>1552</v>
      </c>
      <c r="F65" s="118">
        <v>10</v>
      </c>
      <c r="G65" s="118">
        <v>2</v>
      </c>
      <c r="H65" s="118" t="s">
        <v>1553</v>
      </c>
      <c r="I65" s="159">
        <v>712.5</v>
      </c>
      <c r="J65" s="159">
        <v>178.9</v>
      </c>
      <c r="K65" s="160">
        <v>0.108769</v>
      </c>
      <c r="L65" s="160">
        <v>3.68E-4</v>
      </c>
      <c r="M65" s="161">
        <f t="shared" si="0"/>
        <v>0.12746625</v>
      </c>
      <c r="N65" s="161">
        <f t="shared" si="1"/>
        <v>1.8697249999999999E-2</v>
      </c>
      <c r="O65" s="121">
        <f t="shared" si="2"/>
        <v>0.14668392613731085</v>
      </c>
      <c r="P65" s="162">
        <f>IF(E65="Hardox 450",INDEX('Sac Parametreleri'!$G$11:$G$24,MATCH(F65,'Sac Parametreleri'!$A$11:$A$24,0)),INDEX('Sac Parametreleri'!$E$11:$E$24,MATCH(F65,'Sac Parametreleri'!$A$11:$A$24,0)))</f>
        <v>62.800000000000004</v>
      </c>
      <c r="Q65" s="162">
        <f>INDEX('Sac Parametreleri'!$F$11:$F$24,MATCH(F65,'Sac Parametreleri'!$A$11:$A$24,0))</f>
        <v>25.690909090909091</v>
      </c>
      <c r="R65" s="163">
        <f t="shared" si="3"/>
        <v>7.5245311500000005</v>
      </c>
      <c r="S65" s="163">
        <f t="shared" si="4"/>
        <v>15.049062300000001</v>
      </c>
      <c r="T65" s="122">
        <f>K65*F65*'Sac Parametreleri'!$B$6*G65</f>
        <v>17.076733000000001</v>
      </c>
      <c r="U65" s="122">
        <f>N65*F65*'Sac Parametreleri'!$B$6*G65</f>
        <v>2.9354682499999996</v>
      </c>
      <c r="V65" s="122">
        <f>M65*F65*'Sac Parametreleri'!$B$6*G65</f>
        <v>20.01220125</v>
      </c>
      <c r="W65" s="118" t="s">
        <v>85</v>
      </c>
    </row>
    <row r="66" spans="1:23" ht="15" customHeight="1" x14ac:dyDescent="0.25">
      <c r="A66" s="118" t="s">
        <v>444</v>
      </c>
      <c r="B66" s="118">
        <v>3</v>
      </c>
      <c r="C66" s="118" t="s">
        <v>1590</v>
      </c>
      <c r="D66" s="118" t="s">
        <v>1591</v>
      </c>
      <c r="E66" s="118" t="s">
        <v>1552</v>
      </c>
      <c r="F66" s="118">
        <v>6</v>
      </c>
      <c r="G66" s="118">
        <v>2</v>
      </c>
      <c r="H66" s="118" t="s">
        <v>1551</v>
      </c>
      <c r="I66" s="159">
        <v>100</v>
      </c>
      <c r="J66" s="159">
        <v>85</v>
      </c>
      <c r="K66" s="160">
        <v>5.0749999999999997E-3</v>
      </c>
      <c r="L66" s="160">
        <v>0</v>
      </c>
      <c r="M66" s="161">
        <f t="shared" ref="M66:M129" si="5">I66*J66/1000000</f>
        <v>8.5000000000000006E-3</v>
      </c>
      <c r="N66" s="161">
        <f t="shared" ref="N66:N129" si="6">MAX(M66-K66,0)</f>
        <v>3.425000000000001E-3</v>
      </c>
      <c r="O66" s="121">
        <f t="shared" ref="O66:O129" si="7">IF(M66=0,0,N66/M66)</f>
        <v>0.4029411764705883</v>
      </c>
      <c r="P66" s="162">
        <f>IF(E66="Hardox 450",INDEX('Sac Parametreleri'!$G$11:$G$24,MATCH(F66,'Sac Parametreleri'!$A$11:$A$24,0)),INDEX('Sac Parametreleri'!$E$11:$E$24,MATCH(F66,'Sac Parametreleri'!$A$11:$A$24,0)))</f>
        <v>37.68</v>
      </c>
      <c r="Q66" s="162">
        <f>INDEX('Sac Parametreleri'!$F$11:$F$24,MATCH(F66,'Sac Parametreleri'!$A$11:$A$24,0))</f>
        <v>15.414545454545452</v>
      </c>
      <c r="R66" s="163">
        <f t="shared" ref="R66:R129" si="8">(K66+N66)*P66-N66*Q66</f>
        <v>0.26748518181818182</v>
      </c>
      <c r="S66" s="163">
        <f t="shared" ref="S66:S129" si="9">R66*G66</f>
        <v>0.53497036363636363</v>
      </c>
      <c r="T66" s="122">
        <f>K66*F66*'Sac Parametreleri'!$B$6*G66</f>
        <v>0.47806499999999996</v>
      </c>
      <c r="U66" s="122">
        <f>N66*F66*'Sac Parametreleri'!$B$6*G66</f>
        <v>0.32263500000000006</v>
      </c>
      <c r="V66" s="122">
        <f>M66*F66*'Sac Parametreleri'!$B$6*G66</f>
        <v>0.80069999999999997</v>
      </c>
      <c r="W66" s="118" t="s">
        <v>85</v>
      </c>
    </row>
    <row r="67" spans="1:23" ht="15" customHeight="1" x14ac:dyDescent="0.25">
      <c r="A67" s="118" t="s">
        <v>444</v>
      </c>
      <c r="B67" s="118">
        <v>4</v>
      </c>
      <c r="C67" s="118" t="s">
        <v>1592</v>
      </c>
      <c r="D67" s="118" t="s">
        <v>1591</v>
      </c>
      <c r="E67" s="118" t="s">
        <v>1552</v>
      </c>
      <c r="F67" s="118">
        <v>6</v>
      </c>
      <c r="G67" s="118">
        <v>2</v>
      </c>
      <c r="H67" s="118" t="s">
        <v>1551</v>
      </c>
      <c r="I67" s="159">
        <v>120</v>
      </c>
      <c r="J67" s="159">
        <v>80</v>
      </c>
      <c r="K67" s="160">
        <v>5.7000000000000002E-3</v>
      </c>
      <c r="L67" s="160">
        <v>0</v>
      </c>
      <c r="M67" s="161">
        <f t="shared" si="5"/>
        <v>9.5999999999999992E-3</v>
      </c>
      <c r="N67" s="161">
        <f t="shared" si="6"/>
        <v>3.899999999999999E-3</v>
      </c>
      <c r="O67" s="121">
        <f t="shared" si="7"/>
        <v>0.40624999999999994</v>
      </c>
      <c r="P67" s="162">
        <f>IF(E67="Hardox 450",INDEX('Sac Parametreleri'!$G$11:$G$24,MATCH(F67,'Sac Parametreleri'!$A$11:$A$24,0)),INDEX('Sac Parametreleri'!$E$11:$E$24,MATCH(F67,'Sac Parametreleri'!$A$11:$A$24,0)))</f>
        <v>37.68</v>
      </c>
      <c r="Q67" s="162">
        <f>INDEX('Sac Parametreleri'!$F$11:$F$24,MATCH(F67,'Sac Parametreleri'!$A$11:$A$24,0))</f>
        <v>15.414545454545452</v>
      </c>
      <c r="R67" s="163">
        <f t="shared" si="8"/>
        <v>0.30161127272727267</v>
      </c>
      <c r="S67" s="163">
        <f t="shared" si="9"/>
        <v>0.60322254545454534</v>
      </c>
      <c r="T67" s="122">
        <f>K67*F67*'Sac Parametreleri'!$B$6*G67</f>
        <v>0.53693999999999997</v>
      </c>
      <c r="U67" s="122">
        <f>N67*F67*'Sac Parametreleri'!$B$6*G67</f>
        <v>0.36737999999999987</v>
      </c>
      <c r="V67" s="122">
        <f>M67*F67*'Sac Parametreleri'!$B$6*G67</f>
        <v>0.9043199999999999</v>
      </c>
      <c r="W67" s="118" t="s">
        <v>85</v>
      </c>
    </row>
    <row r="68" spans="1:23" ht="15" customHeight="1" x14ac:dyDescent="0.25">
      <c r="A68" s="118" t="s">
        <v>444</v>
      </c>
      <c r="B68" s="118">
        <v>5</v>
      </c>
      <c r="C68" s="118" t="s">
        <v>729</v>
      </c>
      <c r="D68" s="118" t="s">
        <v>730</v>
      </c>
      <c r="E68" s="118" t="s">
        <v>1552</v>
      </c>
      <c r="F68" s="118">
        <v>6</v>
      </c>
      <c r="G68" s="118">
        <v>1</v>
      </c>
      <c r="H68" s="118" t="s">
        <v>1553</v>
      </c>
      <c r="I68" s="159">
        <v>552.29999999999995</v>
      </c>
      <c r="J68" s="159">
        <v>150</v>
      </c>
      <c r="K68" s="160">
        <v>4.4269999999999997E-2</v>
      </c>
      <c r="L68" s="160">
        <v>0</v>
      </c>
      <c r="M68" s="161">
        <f t="shared" si="5"/>
        <v>8.2845000000000002E-2</v>
      </c>
      <c r="N68" s="161">
        <f t="shared" si="6"/>
        <v>3.8575000000000005E-2</v>
      </c>
      <c r="O68" s="121">
        <f t="shared" si="7"/>
        <v>0.46562858349930597</v>
      </c>
      <c r="P68" s="162">
        <f>IF(E68="Hardox 450",INDEX('Sac Parametreleri'!$G$11:$G$24,MATCH(F68,'Sac Parametreleri'!$A$11:$A$24,0)),INDEX('Sac Parametreleri'!$E$11:$E$24,MATCH(F68,'Sac Parametreleri'!$A$11:$A$24,0)))</f>
        <v>37.68</v>
      </c>
      <c r="Q68" s="162">
        <f>INDEX('Sac Parametreleri'!$F$11:$F$24,MATCH(F68,'Sac Parametreleri'!$A$11:$A$24,0))</f>
        <v>15.414545454545452</v>
      </c>
      <c r="R68" s="163">
        <f t="shared" si="8"/>
        <v>2.5269835090909094</v>
      </c>
      <c r="S68" s="163">
        <f t="shared" si="9"/>
        <v>2.5269835090909094</v>
      </c>
      <c r="T68" s="122">
        <f>K68*F68*'Sac Parametreleri'!$B$6*G68</f>
        <v>2.0851169999999994</v>
      </c>
      <c r="U68" s="122">
        <f>N68*F68*'Sac Parametreleri'!$B$6*G68</f>
        <v>1.8168825000000002</v>
      </c>
      <c r="V68" s="122">
        <f>M68*F68*'Sac Parametreleri'!$B$6*G68</f>
        <v>3.9019995000000001</v>
      </c>
      <c r="W68" s="118" t="s">
        <v>85</v>
      </c>
    </row>
    <row r="69" spans="1:23" ht="15" customHeight="1" x14ac:dyDescent="0.25">
      <c r="A69" s="118" t="s">
        <v>444</v>
      </c>
      <c r="B69" s="118">
        <v>6</v>
      </c>
      <c r="C69" s="118" t="s">
        <v>731</v>
      </c>
      <c r="D69" s="118" t="s">
        <v>732</v>
      </c>
      <c r="E69" s="118" t="s">
        <v>1552</v>
      </c>
      <c r="F69" s="118">
        <v>6</v>
      </c>
      <c r="G69" s="118">
        <v>1</v>
      </c>
      <c r="H69" s="118" t="s">
        <v>1553</v>
      </c>
      <c r="I69" s="159">
        <v>511.1</v>
      </c>
      <c r="J69" s="159">
        <v>150</v>
      </c>
      <c r="K69" s="160">
        <v>4.0189999999999997E-2</v>
      </c>
      <c r="L69" s="160">
        <v>0</v>
      </c>
      <c r="M69" s="161">
        <f t="shared" si="5"/>
        <v>7.6664999999999997E-2</v>
      </c>
      <c r="N69" s="161">
        <f t="shared" si="6"/>
        <v>3.6475E-2</v>
      </c>
      <c r="O69" s="121">
        <f t="shared" si="7"/>
        <v>0.47577121241766129</v>
      </c>
      <c r="P69" s="162">
        <f>IF(E69="Hardox 450",INDEX('Sac Parametreleri'!$G$11:$G$24,MATCH(F69,'Sac Parametreleri'!$A$11:$A$24,0)),INDEX('Sac Parametreleri'!$E$11:$E$24,MATCH(F69,'Sac Parametreleri'!$A$11:$A$24,0)))</f>
        <v>37.68</v>
      </c>
      <c r="Q69" s="162">
        <f>INDEX('Sac Parametreleri'!$F$11:$F$24,MATCH(F69,'Sac Parametreleri'!$A$11:$A$24,0))</f>
        <v>15.414545454545452</v>
      </c>
      <c r="R69" s="163">
        <f t="shared" si="8"/>
        <v>2.3264916545454546</v>
      </c>
      <c r="S69" s="163">
        <f t="shared" si="9"/>
        <v>2.3264916545454546</v>
      </c>
      <c r="T69" s="122">
        <f>K69*F69*'Sac Parametreleri'!$B$6*G69</f>
        <v>1.8929489999999995</v>
      </c>
      <c r="U69" s="122">
        <f>N69*F69*'Sac Parametreleri'!$B$6*G69</f>
        <v>1.7179724999999999</v>
      </c>
      <c r="V69" s="122">
        <f>M69*F69*'Sac Parametreleri'!$B$6*G69</f>
        <v>3.6109214999999999</v>
      </c>
      <c r="W69" s="118" t="s">
        <v>85</v>
      </c>
    </row>
    <row r="70" spans="1:23" ht="15" customHeight="1" x14ac:dyDescent="0.25">
      <c r="A70" s="118" t="s">
        <v>521</v>
      </c>
      <c r="B70" s="118">
        <v>1</v>
      </c>
      <c r="C70" s="118" t="s">
        <v>1593</v>
      </c>
      <c r="D70" s="118" t="s">
        <v>1594</v>
      </c>
      <c r="E70" s="118" t="s">
        <v>1552</v>
      </c>
      <c r="F70" s="118">
        <v>15</v>
      </c>
      <c r="G70" s="118">
        <v>1</v>
      </c>
      <c r="H70" s="118" t="s">
        <v>1551</v>
      </c>
      <c r="I70" s="159">
        <v>500</v>
      </c>
      <c r="J70" s="159">
        <v>290</v>
      </c>
      <c r="K70" s="160">
        <v>0.100883</v>
      </c>
      <c r="L70" s="160">
        <v>2.3341000000000001E-2</v>
      </c>
      <c r="M70" s="161">
        <f t="shared" si="5"/>
        <v>0.14499999999999999</v>
      </c>
      <c r="N70" s="161">
        <f t="shared" si="6"/>
        <v>4.411699999999999E-2</v>
      </c>
      <c r="O70" s="121">
        <f t="shared" si="7"/>
        <v>0.30425517241379307</v>
      </c>
      <c r="P70" s="162">
        <f>IF(E70="Hardox 450",INDEX('Sac Parametreleri'!$G$11:$G$24,MATCH(F70,'Sac Parametreleri'!$A$11:$A$24,0)),INDEX('Sac Parametreleri'!$E$11:$E$24,MATCH(F70,'Sac Parametreleri'!$A$11:$A$24,0)))</f>
        <v>94.2</v>
      </c>
      <c r="Q70" s="162">
        <f>INDEX('Sac Parametreleri'!$F$11:$F$24,MATCH(F70,'Sac Parametreleri'!$A$11:$A$24,0))</f>
        <v>38.536363636363639</v>
      </c>
      <c r="R70" s="163">
        <f t="shared" si="8"/>
        <v>11.958891245454545</v>
      </c>
      <c r="S70" s="163">
        <f t="shared" si="9"/>
        <v>11.958891245454545</v>
      </c>
      <c r="T70" s="122">
        <f>K70*F70*'Sac Parametreleri'!$B$6*G70</f>
        <v>11.87897325</v>
      </c>
      <c r="U70" s="122">
        <f>N70*F70*'Sac Parametreleri'!$B$6*G70</f>
        <v>5.1947767499999991</v>
      </c>
      <c r="V70" s="122">
        <f>M70*F70*'Sac Parametreleri'!$B$6*G70</f>
        <v>17.073749999999997</v>
      </c>
      <c r="W70" s="118" t="s">
        <v>85</v>
      </c>
    </row>
    <row r="71" spans="1:23" ht="15" customHeight="1" x14ac:dyDescent="0.25">
      <c r="A71" s="118" t="s">
        <v>521</v>
      </c>
      <c r="B71" s="118">
        <v>2</v>
      </c>
      <c r="C71" s="118" t="s">
        <v>727</v>
      </c>
      <c r="D71" s="118" t="s">
        <v>700</v>
      </c>
      <c r="E71" s="118" t="s">
        <v>1552</v>
      </c>
      <c r="F71" s="118">
        <v>10</v>
      </c>
      <c r="G71" s="118">
        <v>2</v>
      </c>
      <c r="H71" s="118" t="s">
        <v>1553</v>
      </c>
      <c r="I71" s="159">
        <v>712.5</v>
      </c>
      <c r="J71" s="159">
        <v>178.9</v>
      </c>
      <c r="K71" s="160">
        <v>0.108769</v>
      </c>
      <c r="L71" s="160">
        <v>3.68E-4</v>
      </c>
      <c r="M71" s="161">
        <f t="shared" si="5"/>
        <v>0.12746625</v>
      </c>
      <c r="N71" s="161">
        <f t="shared" si="6"/>
        <v>1.8697249999999999E-2</v>
      </c>
      <c r="O71" s="121">
        <f t="shared" si="7"/>
        <v>0.14668392613731085</v>
      </c>
      <c r="P71" s="162">
        <f>IF(E71="Hardox 450",INDEX('Sac Parametreleri'!$G$11:$G$24,MATCH(F71,'Sac Parametreleri'!$A$11:$A$24,0)),INDEX('Sac Parametreleri'!$E$11:$E$24,MATCH(F71,'Sac Parametreleri'!$A$11:$A$24,0)))</f>
        <v>62.800000000000004</v>
      </c>
      <c r="Q71" s="162">
        <f>INDEX('Sac Parametreleri'!$F$11:$F$24,MATCH(F71,'Sac Parametreleri'!$A$11:$A$24,0))</f>
        <v>25.690909090909091</v>
      </c>
      <c r="R71" s="163">
        <f t="shared" si="8"/>
        <v>7.5245311500000005</v>
      </c>
      <c r="S71" s="163">
        <f t="shared" si="9"/>
        <v>15.049062300000001</v>
      </c>
      <c r="T71" s="122">
        <f>K71*F71*'Sac Parametreleri'!$B$6*G71</f>
        <v>17.076733000000001</v>
      </c>
      <c r="U71" s="122">
        <f>N71*F71*'Sac Parametreleri'!$B$6*G71</f>
        <v>2.9354682499999996</v>
      </c>
      <c r="V71" s="122">
        <f>M71*F71*'Sac Parametreleri'!$B$6*G71</f>
        <v>20.01220125</v>
      </c>
      <c r="W71" s="118" t="s">
        <v>85</v>
      </c>
    </row>
    <row r="72" spans="1:23" ht="15" customHeight="1" x14ac:dyDescent="0.25">
      <c r="A72" s="118" t="s">
        <v>521</v>
      </c>
      <c r="B72" s="118">
        <v>3</v>
      </c>
      <c r="C72" s="118" t="s">
        <v>1590</v>
      </c>
      <c r="D72" s="118" t="s">
        <v>700</v>
      </c>
      <c r="E72" s="118" t="s">
        <v>1552</v>
      </c>
      <c r="F72" s="118">
        <v>6</v>
      </c>
      <c r="G72" s="118">
        <v>4</v>
      </c>
      <c r="H72" s="118" t="s">
        <v>1551</v>
      </c>
      <c r="I72" s="159">
        <v>100</v>
      </c>
      <c r="J72" s="159">
        <v>85</v>
      </c>
      <c r="K72" s="160">
        <v>5.0749999999999997E-3</v>
      </c>
      <c r="L72" s="160">
        <v>0</v>
      </c>
      <c r="M72" s="161">
        <f t="shared" si="5"/>
        <v>8.5000000000000006E-3</v>
      </c>
      <c r="N72" s="161">
        <f t="shared" si="6"/>
        <v>3.425000000000001E-3</v>
      </c>
      <c r="O72" s="121">
        <f t="shared" si="7"/>
        <v>0.4029411764705883</v>
      </c>
      <c r="P72" s="162">
        <f>IF(E72="Hardox 450",INDEX('Sac Parametreleri'!$G$11:$G$24,MATCH(F72,'Sac Parametreleri'!$A$11:$A$24,0)),INDEX('Sac Parametreleri'!$E$11:$E$24,MATCH(F72,'Sac Parametreleri'!$A$11:$A$24,0)))</f>
        <v>37.68</v>
      </c>
      <c r="Q72" s="162">
        <f>INDEX('Sac Parametreleri'!$F$11:$F$24,MATCH(F72,'Sac Parametreleri'!$A$11:$A$24,0))</f>
        <v>15.414545454545452</v>
      </c>
      <c r="R72" s="163">
        <f t="shared" si="8"/>
        <v>0.26748518181818182</v>
      </c>
      <c r="S72" s="163">
        <f t="shared" si="9"/>
        <v>1.0699407272727273</v>
      </c>
      <c r="T72" s="122">
        <f>K72*F72*'Sac Parametreleri'!$B$6*G72</f>
        <v>0.95612999999999992</v>
      </c>
      <c r="U72" s="122">
        <f>N72*F72*'Sac Parametreleri'!$B$6*G72</f>
        <v>0.64527000000000012</v>
      </c>
      <c r="V72" s="122">
        <f>M72*F72*'Sac Parametreleri'!$B$6*G72</f>
        <v>1.6013999999999999</v>
      </c>
      <c r="W72" s="118" t="s">
        <v>85</v>
      </c>
    </row>
    <row r="73" spans="1:23" ht="15" customHeight="1" x14ac:dyDescent="0.25">
      <c r="A73" s="118" t="s">
        <v>521</v>
      </c>
      <c r="B73" s="118">
        <v>4</v>
      </c>
      <c r="C73" s="118" t="s">
        <v>1592</v>
      </c>
      <c r="D73" s="118" t="s">
        <v>700</v>
      </c>
      <c r="E73" s="118" t="s">
        <v>1552</v>
      </c>
      <c r="F73" s="118">
        <v>6</v>
      </c>
      <c r="G73" s="118">
        <v>4</v>
      </c>
      <c r="H73" s="118" t="s">
        <v>1551</v>
      </c>
      <c r="I73" s="159">
        <v>120</v>
      </c>
      <c r="J73" s="159">
        <v>80</v>
      </c>
      <c r="K73" s="160">
        <v>5.7000000000000002E-3</v>
      </c>
      <c r="L73" s="160">
        <v>0</v>
      </c>
      <c r="M73" s="161">
        <f t="shared" si="5"/>
        <v>9.5999999999999992E-3</v>
      </c>
      <c r="N73" s="161">
        <f t="shared" si="6"/>
        <v>3.899999999999999E-3</v>
      </c>
      <c r="O73" s="121">
        <f t="shared" si="7"/>
        <v>0.40624999999999994</v>
      </c>
      <c r="P73" s="162">
        <f>IF(E73="Hardox 450",INDEX('Sac Parametreleri'!$G$11:$G$24,MATCH(F73,'Sac Parametreleri'!$A$11:$A$24,0)),INDEX('Sac Parametreleri'!$E$11:$E$24,MATCH(F73,'Sac Parametreleri'!$A$11:$A$24,0)))</f>
        <v>37.68</v>
      </c>
      <c r="Q73" s="162">
        <f>INDEX('Sac Parametreleri'!$F$11:$F$24,MATCH(F73,'Sac Parametreleri'!$A$11:$A$24,0))</f>
        <v>15.414545454545452</v>
      </c>
      <c r="R73" s="163">
        <f t="shared" si="8"/>
        <v>0.30161127272727267</v>
      </c>
      <c r="S73" s="163">
        <f t="shared" si="9"/>
        <v>1.2064450909090907</v>
      </c>
      <c r="T73" s="122">
        <f>K73*F73*'Sac Parametreleri'!$B$6*G73</f>
        <v>1.0738799999999999</v>
      </c>
      <c r="U73" s="122">
        <f>N73*F73*'Sac Parametreleri'!$B$6*G73</f>
        <v>0.73475999999999975</v>
      </c>
      <c r="V73" s="122">
        <f>M73*F73*'Sac Parametreleri'!$B$6*G73</f>
        <v>1.8086399999999998</v>
      </c>
      <c r="W73" s="118" t="s">
        <v>85</v>
      </c>
    </row>
    <row r="74" spans="1:23" ht="15" customHeight="1" x14ac:dyDescent="0.25">
      <c r="A74" s="118" t="s">
        <v>485</v>
      </c>
      <c r="B74" s="118">
        <v>1</v>
      </c>
      <c r="C74" s="118" t="s">
        <v>873</v>
      </c>
      <c r="D74" s="118" t="s">
        <v>777</v>
      </c>
      <c r="E74" s="118" t="s">
        <v>1552</v>
      </c>
      <c r="F74" s="118">
        <v>10</v>
      </c>
      <c r="G74" s="118">
        <v>1</v>
      </c>
      <c r="H74" s="118" t="s">
        <v>1553</v>
      </c>
      <c r="I74" s="159">
        <v>750</v>
      </c>
      <c r="J74" s="159">
        <v>186.9</v>
      </c>
      <c r="K74" s="160">
        <v>0.12703</v>
      </c>
      <c r="L74" s="160">
        <v>1.4809999999999999E-3</v>
      </c>
      <c r="M74" s="161">
        <f t="shared" si="5"/>
        <v>0.14017499999999999</v>
      </c>
      <c r="N74" s="161">
        <f t="shared" si="6"/>
        <v>1.314499999999999E-2</v>
      </c>
      <c r="O74" s="121">
        <f t="shared" si="7"/>
        <v>9.3775637595862243E-2</v>
      </c>
      <c r="P74" s="162">
        <f>IF(E74="Hardox 450",INDEX('Sac Parametreleri'!$G$11:$G$24,MATCH(F74,'Sac Parametreleri'!$A$11:$A$24,0)),INDEX('Sac Parametreleri'!$E$11:$E$24,MATCH(F74,'Sac Parametreleri'!$A$11:$A$24,0)))</f>
        <v>62.800000000000004</v>
      </c>
      <c r="Q74" s="162">
        <f>INDEX('Sac Parametreleri'!$F$11:$F$24,MATCH(F74,'Sac Parametreleri'!$A$11:$A$24,0))</f>
        <v>25.690909090909091</v>
      </c>
      <c r="R74" s="163">
        <f t="shared" si="8"/>
        <v>8.4652829999999994</v>
      </c>
      <c r="S74" s="163">
        <f t="shared" si="9"/>
        <v>8.4652829999999994</v>
      </c>
      <c r="T74" s="122">
        <f>K74*F74*'Sac Parametreleri'!$B$6*G74</f>
        <v>9.9718549999999997</v>
      </c>
      <c r="U74" s="122">
        <f>N74*F74*'Sac Parametreleri'!$B$6*G74</f>
        <v>1.0318824999999991</v>
      </c>
      <c r="V74" s="122">
        <f>M74*F74*'Sac Parametreleri'!$B$6*G74</f>
        <v>11.003737499999998</v>
      </c>
      <c r="W74" s="118" t="s">
        <v>85</v>
      </c>
    </row>
    <row r="75" spans="1:23" ht="15" customHeight="1" x14ac:dyDescent="0.25">
      <c r="A75" s="118" t="s">
        <v>485</v>
      </c>
      <c r="B75" s="118">
        <v>2</v>
      </c>
      <c r="C75" s="118" t="s">
        <v>1595</v>
      </c>
      <c r="D75" s="118" t="s">
        <v>1596</v>
      </c>
      <c r="E75" s="118" t="s">
        <v>1552</v>
      </c>
      <c r="F75" s="118">
        <v>12</v>
      </c>
      <c r="G75" s="118">
        <v>1</v>
      </c>
      <c r="H75" s="118" t="s">
        <v>1551</v>
      </c>
      <c r="I75" s="159">
        <v>550</v>
      </c>
      <c r="J75" s="159">
        <v>280</v>
      </c>
      <c r="K75" s="160">
        <v>0.14622099999999999</v>
      </c>
      <c r="L75" s="160">
        <v>7.7669999999999996E-3</v>
      </c>
      <c r="M75" s="161">
        <f t="shared" si="5"/>
        <v>0.154</v>
      </c>
      <c r="N75" s="161">
        <f t="shared" si="6"/>
        <v>7.7790000000000081E-3</v>
      </c>
      <c r="O75" s="121">
        <f t="shared" si="7"/>
        <v>5.0512987012987065E-2</v>
      </c>
      <c r="P75" s="162">
        <f>IF(E75="Hardox 450",INDEX('Sac Parametreleri'!$G$11:$G$24,MATCH(F75,'Sac Parametreleri'!$A$11:$A$24,0)),INDEX('Sac Parametreleri'!$E$11:$E$24,MATCH(F75,'Sac Parametreleri'!$A$11:$A$24,0)))</f>
        <v>75.36</v>
      </c>
      <c r="Q75" s="162">
        <f>INDEX('Sac Parametreleri'!$F$11:$F$24,MATCH(F75,'Sac Parametreleri'!$A$11:$A$24,0))</f>
        <v>30.829090909090905</v>
      </c>
      <c r="R75" s="163">
        <f t="shared" si="8"/>
        <v>11.365620501818182</v>
      </c>
      <c r="S75" s="163">
        <f t="shared" si="9"/>
        <v>11.365620501818182</v>
      </c>
      <c r="T75" s="122">
        <f>K75*F75*'Sac Parametreleri'!$B$6*G75</f>
        <v>13.774018199999999</v>
      </c>
      <c r="U75" s="122">
        <f>N75*F75*'Sac Parametreleri'!$B$6*G75</f>
        <v>0.7327818000000007</v>
      </c>
      <c r="V75" s="122">
        <f>M75*F75*'Sac Parametreleri'!$B$6*G75</f>
        <v>14.506799999999998</v>
      </c>
      <c r="W75" s="118" t="s">
        <v>85</v>
      </c>
    </row>
    <row r="76" spans="1:23" ht="15" customHeight="1" x14ac:dyDescent="0.25">
      <c r="A76" s="118" t="s">
        <v>485</v>
      </c>
      <c r="B76" s="118">
        <v>3</v>
      </c>
      <c r="C76" s="118" t="s">
        <v>1597</v>
      </c>
      <c r="D76" s="118" t="s">
        <v>1598</v>
      </c>
      <c r="E76" s="118" t="s">
        <v>1552</v>
      </c>
      <c r="F76" s="118">
        <v>8</v>
      </c>
      <c r="G76" s="118">
        <v>2</v>
      </c>
      <c r="H76" s="118" t="s">
        <v>1551</v>
      </c>
      <c r="I76" s="159">
        <v>550</v>
      </c>
      <c r="J76" s="159">
        <v>50</v>
      </c>
      <c r="K76" s="160">
        <v>2.5590000000000002E-2</v>
      </c>
      <c r="L76" s="160">
        <v>0</v>
      </c>
      <c r="M76" s="161">
        <f t="shared" si="5"/>
        <v>2.75E-2</v>
      </c>
      <c r="N76" s="161">
        <f t="shared" si="6"/>
        <v>1.9099999999999985E-3</v>
      </c>
      <c r="O76" s="121">
        <f t="shared" si="7"/>
        <v>6.9454545454545394E-2</v>
      </c>
      <c r="P76" s="162">
        <f>IF(E76="Hardox 450",INDEX('Sac Parametreleri'!$G$11:$G$24,MATCH(F76,'Sac Parametreleri'!$A$11:$A$24,0)),INDEX('Sac Parametreleri'!$E$11:$E$24,MATCH(F76,'Sac Parametreleri'!$A$11:$A$24,0)))</f>
        <v>50.24</v>
      </c>
      <c r="Q76" s="162">
        <f>INDEX('Sac Parametreleri'!$F$11:$F$24,MATCH(F76,'Sac Parametreleri'!$A$11:$A$24,0))</f>
        <v>20.552727272727271</v>
      </c>
      <c r="R76" s="163">
        <f t="shared" si="8"/>
        <v>1.342344290909091</v>
      </c>
      <c r="S76" s="163">
        <f t="shared" si="9"/>
        <v>2.684688581818182</v>
      </c>
      <c r="T76" s="122">
        <f>K76*F76*'Sac Parametreleri'!$B$6*G76</f>
        <v>3.2141039999999998</v>
      </c>
      <c r="U76" s="122">
        <f>N76*F76*'Sac Parametreleri'!$B$6*G76</f>
        <v>0.2398959999999998</v>
      </c>
      <c r="V76" s="122">
        <f>M76*F76*'Sac Parametreleri'!$B$6*G76</f>
        <v>3.4539999999999997</v>
      </c>
      <c r="W76" s="118" t="s">
        <v>85</v>
      </c>
    </row>
    <row r="77" spans="1:23" ht="15" customHeight="1" x14ac:dyDescent="0.25">
      <c r="A77" s="118" t="s">
        <v>486</v>
      </c>
      <c r="B77" s="118">
        <v>1</v>
      </c>
      <c r="C77" s="118" t="s">
        <v>874</v>
      </c>
      <c r="D77" s="118" t="s">
        <v>875</v>
      </c>
      <c r="E77" s="118" t="s">
        <v>1552</v>
      </c>
      <c r="F77" s="118">
        <v>10</v>
      </c>
      <c r="G77" s="118">
        <v>1</v>
      </c>
      <c r="H77" s="118" t="s">
        <v>1553</v>
      </c>
      <c r="I77" s="159">
        <v>750</v>
      </c>
      <c r="J77" s="159">
        <v>184.7</v>
      </c>
      <c r="K77" s="160">
        <v>0.125475</v>
      </c>
      <c r="L77" s="160">
        <v>1.485E-3</v>
      </c>
      <c r="M77" s="161">
        <f t="shared" si="5"/>
        <v>0.13852500000000001</v>
      </c>
      <c r="N77" s="161">
        <f t="shared" si="6"/>
        <v>1.3050000000000006E-2</v>
      </c>
      <c r="O77" s="121">
        <f t="shared" si="7"/>
        <v>9.4206821873308103E-2</v>
      </c>
      <c r="P77" s="162">
        <f>IF(E77="Hardox 450",INDEX('Sac Parametreleri'!$G$11:$G$24,MATCH(F77,'Sac Parametreleri'!$A$11:$A$24,0)),INDEX('Sac Parametreleri'!$E$11:$E$24,MATCH(F77,'Sac Parametreleri'!$A$11:$A$24,0)))</f>
        <v>62.800000000000004</v>
      </c>
      <c r="Q77" s="162">
        <f>INDEX('Sac Parametreleri'!$F$11:$F$24,MATCH(F77,'Sac Parametreleri'!$A$11:$A$24,0))</f>
        <v>25.690909090909091</v>
      </c>
      <c r="R77" s="163">
        <f t="shared" si="8"/>
        <v>8.3641036363636374</v>
      </c>
      <c r="S77" s="163">
        <f t="shared" si="9"/>
        <v>8.3641036363636374</v>
      </c>
      <c r="T77" s="122">
        <f>K77*F77*'Sac Parametreleri'!$B$6*G77</f>
        <v>9.8497874999999997</v>
      </c>
      <c r="U77" s="122">
        <f>N77*F77*'Sac Parametreleri'!$B$6*G77</f>
        <v>1.0244250000000004</v>
      </c>
      <c r="V77" s="122">
        <f>M77*F77*'Sac Parametreleri'!$B$6*G77</f>
        <v>10.874212500000001</v>
      </c>
      <c r="W77" s="118" t="s">
        <v>85</v>
      </c>
    </row>
    <row r="78" spans="1:23" ht="15" customHeight="1" x14ac:dyDescent="0.25">
      <c r="A78" s="118" t="s">
        <v>486</v>
      </c>
      <c r="B78" s="118">
        <v>2</v>
      </c>
      <c r="C78" s="118" t="s">
        <v>1595</v>
      </c>
      <c r="D78" s="118" t="s">
        <v>1596</v>
      </c>
      <c r="E78" s="118" t="s">
        <v>1552</v>
      </c>
      <c r="F78" s="118">
        <v>12</v>
      </c>
      <c r="G78" s="118">
        <v>1</v>
      </c>
      <c r="H78" s="118" t="s">
        <v>1551</v>
      </c>
      <c r="I78" s="159">
        <v>550</v>
      </c>
      <c r="J78" s="159">
        <v>280</v>
      </c>
      <c r="K78" s="160">
        <v>0.14622099999999999</v>
      </c>
      <c r="L78" s="160">
        <v>7.7710000000000001E-3</v>
      </c>
      <c r="M78" s="161">
        <f t="shared" si="5"/>
        <v>0.154</v>
      </c>
      <c r="N78" s="161">
        <f t="shared" si="6"/>
        <v>7.7790000000000081E-3</v>
      </c>
      <c r="O78" s="121">
        <f t="shared" si="7"/>
        <v>5.0512987012987065E-2</v>
      </c>
      <c r="P78" s="162">
        <f>IF(E78="Hardox 450",INDEX('Sac Parametreleri'!$G$11:$G$24,MATCH(F78,'Sac Parametreleri'!$A$11:$A$24,0)),INDEX('Sac Parametreleri'!$E$11:$E$24,MATCH(F78,'Sac Parametreleri'!$A$11:$A$24,0)))</f>
        <v>75.36</v>
      </c>
      <c r="Q78" s="162">
        <f>INDEX('Sac Parametreleri'!$F$11:$F$24,MATCH(F78,'Sac Parametreleri'!$A$11:$A$24,0))</f>
        <v>30.829090909090905</v>
      </c>
      <c r="R78" s="163">
        <f t="shared" si="8"/>
        <v>11.365620501818182</v>
      </c>
      <c r="S78" s="163">
        <f t="shared" si="9"/>
        <v>11.365620501818182</v>
      </c>
      <c r="T78" s="122">
        <f>K78*F78*'Sac Parametreleri'!$B$6*G78</f>
        <v>13.774018199999999</v>
      </c>
      <c r="U78" s="122">
        <f>N78*F78*'Sac Parametreleri'!$B$6*G78</f>
        <v>0.7327818000000007</v>
      </c>
      <c r="V78" s="122">
        <f>M78*F78*'Sac Parametreleri'!$B$6*G78</f>
        <v>14.506799999999998</v>
      </c>
      <c r="W78" s="118" t="s">
        <v>85</v>
      </c>
    </row>
    <row r="79" spans="1:23" ht="15" customHeight="1" x14ac:dyDescent="0.25">
      <c r="A79" s="118" t="s">
        <v>486</v>
      </c>
      <c r="B79" s="118">
        <v>3</v>
      </c>
      <c r="C79" s="118" t="s">
        <v>1597</v>
      </c>
      <c r="D79" s="118" t="s">
        <v>1598</v>
      </c>
      <c r="E79" s="118" t="s">
        <v>1552</v>
      </c>
      <c r="F79" s="118">
        <v>8</v>
      </c>
      <c r="G79" s="118">
        <v>2</v>
      </c>
      <c r="H79" s="118" t="s">
        <v>1551</v>
      </c>
      <c r="I79" s="159">
        <v>550</v>
      </c>
      <c r="J79" s="159">
        <v>50</v>
      </c>
      <c r="K79" s="160">
        <v>2.5590000000000002E-2</v>
      </c>
      <c r="L79" s="160">
        <v>0</v>
      </c>
      <c r="M79" s="161">
        <f t="shared" si="5"/>
        <v>2.75E-2</v>
      </c>
      <c r="N79" s="161">
        <f t="shared" si="6"/>
        <v>1.9099999999999985E-3</v>
      </c>
      <c r="O79" s="121">
        <f t="shared" si="7"/>
        <v>6.9454545454545394E-2</v>
      </c>
      <c r="P79" s="162">
        <f>IF(E79="Hardox 450",INDEX('Sac Parametreleri'!$G$11:$G$24,MATCH(F79,'Sac Parametreleri'!$A$11:$A$24,0)),INDEX('Sac Parametreleri'!$E$11:$E$24,MATCH(F79,'Sac Parametreleri'!$A$11:$A$24,0)))</f>
        <v>50.24</v>
      </c>
      <c r="Q79" s="162">
        <f>INDEX('Sac Parametreleri'!$F$11:$F$24,MATCH(F79,'Sac Parametreleri'!$A$11:$A$24,0))</f>
        <v>20.552727272727271</v>
      </c>
      <c r="R79" s="163">
        <f t="shared" si="8"/>
        <v>1.342344290909091</v>
      </c>
      <c r="S79" s="163">
        <f t="shared" si="9"/>
        <v>2.684688581818182</v>
      </c>
      <c r="T79" s="122">
        <f>K79*F79*'Sac Parametreleri'!$B$6*G79</f>
        <v>3.2141039999999998</v>
      </c>
      <c r="U79" s="122">
        <f>N79*F79*'Sac Parametreleri'!$B$6*G79</f>
        <v>0.2398959999999998</v>
      </c>
      <c r="V79" s="122">
        <f>M79*F79*'Sac Parametreleri'!$B$6*G79</f>
        <v>3.4539999999999997</v>
      </c>
      <c r="W79" s="118" t="s">
        <v>85</v>
      </c>
    </row>
    <row r="80" spans="1:23" ht="15" customHeight="1" x14ac:dyDescent="0.25">
      <c r="A80" s="118" t="s">
        <v>542</v>
      </c>
      <c r="B80" s="118">
        <v>1</v>
      </c>
      <c r="C80" s="118" t="s">
        <v>1599</v>
      </c>
      <c r="D80" s="118" t="s">
        <v>1600</v>
      </c>
      <c r="E80" s="118" t="s">
        <v>1552</v>
      </c>
      <c r="F80" s="118">
        <v>12</v>
      </c>
      <c r="G80" s="118">
        <v>1</v>
      </c>
      <c r="H80" s="118" t="s">
        <v>1551</v>
      </c>
      <c r="I80" s="159">
        <v>550</v>
      </c>
      <c r="J80" s="159">
        <v>280</v>
      </c>
      <c r="K80" s="160">
        <v>0.14844299999999999</v>
      </c>
      <c r="L80" s="160">
        <v>5.5469999999999998E-3</v>
      </c>
      <c r="M80" s="161">
        <f t="shared" si="5"/>
        <v>0.154</v>
      </c>
      <c r="N80" s="161">
        <f t="shared" si="6"/>
        <v>5.5570000000000064E-3</v>
      </c>
      <c r="O80" s="121">
        <f t="shared" si="7"/>
        <v>3.6084415584415629E-2</v>
      </c>
      <c r="P80" s="162">
        <f>IF(E80="Hardox 450",INDEX('Sac Parametreleri'!$G$11:$G$24,MATCH(F80,'Sac Parametreleri'!$A$11:$A$24,0)),INDEX('Sac Parametreleri'!$E$11:$E$24,MATCH(F80,'Sac Parametreleri'!$A$11:$A$24,0)))</f>
        <v>75.36</v>
      </c>
      <c r="Q80" s="162">
        <f>INDEX('Sac Parametreleri'!$F$11:$F$24,MATCH(F80,'Sac Parametreleri'!$A$11:$A$24,0))</f>
        <v>30.829090909090905</v>
      </c>
      <c r="R80" s="163">
        <f t="shared" si="8"/>
        <v>11.434122741818181</v>
      </c>
      <c r="S80" s="163">
        <f t="shared" si="9"/>
        <v>11.434122741818181</v>
      </c>
      <c r="T80" s="122">
        <f>K80*F80*'Sac Parametreleri'!$B$6*G80</f>
        <v>13.983330599999999</v>
      </c>
      <c r="U80" s="122">
        <f>N80*F80*'Sac Parametreleri'!$B$6*G80</f>
        <v>0.52346940000000053</v>
      </c>
      <c r="V80" s="122">
        <f>M80*F80*'Sac Parametreleri'!$B$6*G80</f>
        <v>14.506799999999998</v>
      </c>
      <c r="W80" s="118" t="s">
        <v>85</v>
      </c>
    </row>
    <row r="81" spans="1:23" ht="15" customHeight="1" x14ac:dyDescent="0.25">
      <c r="A81" s="118" t="s">
        <v>542</v>
      </c>
      <c r="B81" s="118">
        <v>2</v>
      </c>
      <c r="C81" s="118" t="s">
        <v>1597</v>
      </c>
      <c r="D81" s="118" t="s">
        <v>1598</v>
      </c>
      <c r="E81" s="118" t="s">
        <v>1552</v>
      </c>
      <c r="F81" s="118">
        <v>8</v>
      </c>
      <c r="G81" s="118">
        <v>2</v>
      </c>
      <c r="H81" s="118" t="s">
        <v>1551</v>
      </c>
      <c r="I81" s="159">
        <v>550</v>
      </c>
      <c r="J81" s="159">
        <v>50</v>
      </c>
      <c r="K81" s="160">
        <v>2.5590000000000002E-2</v>
      </c>
      <c r="L81" s="160">
        <v>0</v>
      </c>
      <c r="M81" s="161">
        <f t="shared" si="5"/>
        <v>2.75E-2</v>
      </c>
      <c r="N81" s="161">
        <f t="shared" si="6"/>
        <v>1.9099999999999985E-3</v>
      </c>
      <c r="O81" s="121">
        <f t="shared" si="7"/>
        <v>6.9454545454545394E-2</v>
      </c>
      <c r="P81" s="162">
        <f>IF(E81="Hardox 450",INDEX('Sac Parametreleri'!$G$11:$G$24,MATCH(F81,'Sac Parametreleri'!$A$11:$A$24,0)),INDEX('Sac Parametreleri'!$E$11:$E$24,MATCH(F81,'Sac Parametreleri'!$A$11:$A$24,0)))</f>
        <v>50.24</v>
      </c>
      <c r="Q81" s="162">
        <f>INDEX('Sac Parametreleri'!$F$11:$F$24,MATCH(F81,'Sac Parametreleri'!$A$11:$A$24,0))</f>
        <v>20.552727272727271</v>
      </c>
      <c r="R81" s="163">
        <f t="shared" si="8"/>
        <v>1.342344290909091</v>
      </c>
      <c r="S81" s="163">
        <f t="shared" si="9"/>
        <v>2.684688581818182</v>
      </c>
      <c r="T81" s="122">
        <f>K81*F81*'Sac Parametreleri'!$B$6*G81</f>
        <v>3.2141039999999998</v>
      </c>
      <c r="U81" s="122">
        <f>N81*F81*'Sac Parametreleri'!$B$6*G81</f>
        <v>0.2398959999999998</v>
      </c>
      <c r="V81" s="122">
        <f>M81*F81*'Sac Parametreleri'!$B$6*G81</f>
        <v>3.4539999999999997</v>
      </c>
      <c r="W81" s="118" t="s">
        <v>85</v>
      </c>
    </row>
    <row r="82" spans="1:23" ht="15" customHeight="1" x14ac:dyDescent="0.25">
      <c r="A82" s="118" t="s">
        <v>542</v>
      </c>
      <c r="B82" s="118">
        <v>3</v>
      </c>
      <c r="C82" s="118" t="s">
        <v>776</v>
      </c>
      <c r="D82" s="118" t="s">
        <v>777</v>
      </c>
      <c r="E82" s="118" t="s">
        <v>1552</v>
      </c>
      <c r="F82" s="118">
        <v>10</v>
      </c>
      <c r="G82" s="118">
        <v>1</v>
      </c>
      <c r="H82" s="118" t="s">
        <v>1553</v>
      </c>
      <c r="I82" s="159">
        <v>750</v>
      </c>
      <c r="J82" s="159">
        <v>186.9</v>
      </c>
      <c r="K82" s="160">
        <v>0.13416700000000001</v>
      </c>
      <c r="L82" s="160">
        <v>3.7100000000000002E-4</v>
      </c>
      <c r="M82" s="161">
        <f t="shared" si="5"/>
        <v>0.14017499999999999</v>
      </c>
      <c r="N82" s="161">
        <f t="shared" si="6"/>
        <v>6.0079999999999856E-3</v>
      </c>
      <c r="O82" s="121">
        <f t="shared" si="7"/>
        <v>4.286070982700186E-2</v>
      </c>
      <c r="P82" s="162">
        <f>IF(E82="Hardox 450",INDEX('Sac Parametreleri'!$G$11:$G$24,MATCH(F82,'Sac Parametreleri'!$A$11:$A$24,0)),INDEX('Sac Parametreleri'!$E$11:$E$24,MATCH(F82,'Sac Parametreleri'!$A$11:$A$24,0)))</f>
        <v>62.800000000000004</v>
      </c>
      <c r="Q82" s="162">
        <f>INDEX('Sac Parametreleri'!$F$11:$F$24,MATCH(F82,'Sac Parametreleri'!$A$11:$A$24,0))</f>
        <v>25.690909090909091</v>
      </c>
      <c r="R82" s="163">
        <f t="shared" si="8"/>
        <v>8.648639018181818</v>
      </c>
      <c r="S82" s="163">
        <f t="shared" si="9"/>
        <v>8.648639018181818</v>
      </c>
      <c r="T82" s="122">
        <f>K82*F82*'Sac Parametreleri'!$B$6*G82</f>
        <v>10.532109500000001</v>
      </c>
      <c r="U82" s="122">
        <f>N82*F82*'Sac Parametreleri'!$B$6*G82</f>
        <v>0.47162799999999883</v>
      </c>
      <c r="V82" s="122">
        <f>M82*F82*'Sac Parametreleri'!$B$6*G82</f>
        <v>11.003737499999998</v>
      </c>
      <c r="W82" s="118" t="s">
        <v>85</v>
      </c>
    </row>
    <row r="83" spans="1:23" ht="15" customHeight="1" x14ac:dyDescent="0.25">
      <c r="A83" s="118" t="s">
        <v>543</v>
      </c>
      <c r="B83" s="118">
        <v>1</v>
      </c>
      <c r="C83" s="118" t="s">
        <v>776</v>
      </c>
      <c r="D83" s="118" t="s">
        <v>777</v>
      </c>
      <c r="E83" s="118" t="s">
        <v>1552</v>
      </c>
      <c r="F83" s="118">
        <v>10</v>
      </c>
      <c r="G83" s="118">
        <v>1</v>
      </c>
      <c r="H83" s="118" t="s">
        <v>1553</v>
      </c>
      <c r="I83" s="159">
        <v>750</v>
      </c>
      <c r="J83" s="159">
        <v>186.9</v>
      </c>
      <c r="K83" s="160">
        <v>0.13417100000000001</v>
      </c>
      <c r="L83" s="160">
        <v>3.7300000000000001E-4</v>
      </c>
      <c r="M83" s="161">
        <f t="shared" si="5"/>
        <v>0.14017499999999999</v>
      </c>
      <c r="N83" s="161">
        <f t="shared" si="6"/>
        <v>6.0039999999999816E-3</v>
      </c>
      <c r="O83" s="121">
        <f t="shared" si="7"/>
        <v>4.2832174068128996E-2</v>
      </c>
      <c r="P83" s="162">
        <f>IF(E83="Hardox 450",INDEX('Sac Parametreleri'!$G$11:$G$24,MATCH(F83,'Sac Parametreleri'!$A$11:$A$24,0)),INDEX('Sac Parametreleri'!$E$11:$E$24,MATCH(F83,'Sac Parametreleri'!$A$11:$A$24,0)))</f>
        <v>62.800000000000004</v>
      </c>
      <c r="Q83" s="162">
        <f>INDEX('Sac Parametreleri'!$F$11:$F$24,MATCH(F83,'Sac Parametreleri'!$A$11:$A$24,0))</f>
        <v>25.690909090909091</v>
      </c>
      <c r="R83" s="163">
        <f t="shared" si="8"/>
        <v>8.6487417818181811</v>
      </c>
      <c r="S83" s="163">
        <f t="shared" si="9"/>
        <v>8.6487417818181811</v>
      </c>
      <c r="T83" s="122">
        <f>K83*F83*'Sac Parametreleri'!$B$6*G83</f>
        <v>10.5324235</v>
      </c>
      <c r="U83" s="122">
        <f>N83*F83*'Sac Parametreleri'!$B$6*G83</f>
        <v>0.47131399999999851</v>
      </c>
      <c r="V83" s="122">
        <f>M83*F83*'Sac Parametreleri'!$B$6*G83</f>
        <v>11.003737499999998</v>
      </c>
      <c r="W83" s="118" t="s">
        <v>85</v>
      </c>
    </row>
    <row r="84" spans="1:23" ht="15" customHeight="1" x14ac:dyDescent="0.25">
      <c r="A84" s="118" t="s">
        <v>543</v>
      </c>
      <c r="B84" s="118">
        <v>2</v>
      </c>
      <c r="C84" s="118" t="s">
        <v>1599</v>
      </c>
      <c r="D84" s="118" t="s">
        <v>1600</v>
      </c>
      <c r="E84" s="118" t="s">
        <v>1552</v>
      </c>
      <c r="F84" s="118">
        <v>12</v>
      </c>
      <c r="G84" s="118">
        <v>1</v>
      </c>
      <c r="H84" s="118" t="s">
        <v>1551</v>
      </c>
      <c r="I84" s="159">
        <v>550</v>
      </c>
      <c r="J84" s="159">
        <v>280</v>
      </c>
      <c r="K84" s="160">
        <v>0.14844299999999999</v>
      </c>
      <c r="L84" s="160">
        <v>5.5490000000000001E-3</v>
      </c>
      <c r="M84" s="161">
        <f t="shared" si="5"/>
        <v>0.154</v>
      </c>
      <c r="N84" s="161">
        <f t="shared" si="6"/>
        <v>5.5570000000000064E-3</v>
      </c>
      <c r="O84" s="121">
        <f t="shared" si="7"/>
        <v>3.6084415584415629E-2</v>
      </c>
      <c r="P84" s="162">
        <f>IF(E84="Hardox 450",INDEX('Sac Parametreleri'!$G$11:$G$24,MATCH(F84,'Sac Parametreleri'!$A$11:$A$24,0)),INDEX('Sac Parametreleri'!$E$11:$E$24,MATCH(F84,'Sac Parametreleri'!$A$11:$A$24,0)))</f>
        <v>75.36</v>
      </c>
      <c r="Q84" s="162">
        <f>INDEX('Sac Parametreleri'!$F$11:$F$24,MATCH(F84,'Sac Parametreleri'!$A$11:$A$24,0))</f>
        <v>30.829090909090905</v>
      </c>
      <c r="R84" s="163">
        <f t="shared" si="8"/>
        <v>11.434122741818181</v>
      </c>
      <c r="S84" s="163">
        <f t="shared" si="9"/>
        <v>11.434122741818181</v>
      </c>
      <c r="T84" s="122">
        <f>K84*F84*'Sac Parametreleri'!$B$6*G84</f>
        <v>13.983330599999999</v>
      </c>
      <c r="U84" s="122">
        <f>N84*F84*'Sac Parametreleri'!$B$6*G84</f>
        <v>0.52346940000000053</v>
      </c>
      <c r="V84" s="122">
        <f>M84*F84*'Sac Parametreleri'!$B$6*G84</f>
        <v>14.506799999999998</v>
      </c>
      <c r="W84" s="118" t="s">
        <v>85</v>
      </c>
    </row>
    <row r="85" spans="1:23" ht="15" customHeight="1" x14ac:dyDescent="0.25">
      <c r="A85" s="118" t="s">
        <v>543</v>
      </c>
      <c r="B85" s="118">
        <v>3</v>
      </c>
      <c r="C85" s="118" t="s">
        <v>1597</v>
      </c>
      <c r="D85" s="118" t="s">
        <v>1598</v>
      </c>
      <c r="E85" s="118" t="s">
        <v>1552</v>
      </c>
      <c r="F85" s="118">
        <v>8</v>
      </c>
      <c r="G85" s="118">
        <v>2</v>
      </c>
      <c r="H85" s="118" t="s">
        <v>1551</v>
      </c>
      <c r="I85" s="159">
        <v>550</v>
      </c>
      <c r="J85" s="159">
        <v>50</v>
      </c>
      <c r="K85" s="160">
        <v>2.5590000000000002E-2</v>
      </c>
      <c r="L85" s="160">
        <v>0</v>
      </c>
      <c r="M85" s="161">
        <f t="shared" si="5"/>
        <v>2.75E-2</v>
      </c>
      <c r="N85" s="161">
        <f t="shared" si="6"/>
        <v>1.9099999999999985E-3</v>
      </c>
      <c r="O85" s="121">
        <f t="shared" si="7"/>
        <v>6.9454545454545394E-2</v>
      </c>
      <c r="P85" s="162">
        <f>IF(E85="Hardox 450",INDEX('Sac Parametreleri'!$G$11:$G$24,MATCH(F85,'Sac Parametreleri'!$A$11:$A$24,0)),INDEX('Sac Parametreleri'!$E$11:$E$24,MATCH(F85,'Sac Parametreleri'!$A$11:$A$24,0)))</f>
        <v>50.24</v>
      </c>
      <c r="Q85" s="162">
        <f>INDEX('Sac Parametreleri'!$F$11:$F$24,MATCH(F85,'Sac Parametreleri'!$A$11:$A$24,0))</f>
        <v>20.552727272727271</v>
      </c>
      <c r="R85" s="163">
        <f t="shared" si="8"/>
        <v>1.342344290909091</v>
      </c>
      <c r="S85" s="163">
        <f t="shared" si="9"/>
        <v>2.684688581818182</v>
      </c>
      <c r="T85" s="122">
        <f>K85*F85*'Sac Parametreleri'!$B$6*G85</f>
        <v>3.2141039999999998</v>
      </c>
      <c r="U85" s="122">
        <f>N85*F85*'Sac Parametreleri'!$B$6*G85</f>
        <v>0.2398959999999998</v>
      </c>
      <c r="V85" s="122">
        <f>M85*F85*'Sac Parametreleri'!$B$6*G85</f>
        <v>3.4539999999999997</v>
      </c>
      <c r="W85" s="118" t="s">
        <v>85</v>
      </c>
    </row>
    <row r="86" spans="1:23" ht="15" customHeight="1" x14ac:dyDescent="0.25">
      <c r="A86" s="118" t="s">
        <v>527</v>
      </c>
      <c r="B86" s="118">
        <v>1</v>
      </c>
      <c r="C86" s="118" t="s">
        <v>767</v>
      </c>
      <c r="D86" s="118" t="s">
        <v>700</v>
      </c>
      <c r="E86" s="118" t="s">
        <v>1552</v>
      </c>
      <c r="F86" s="118">
        <v>10</v>
      </c>
      <c r="G86" s="118">
        <v>1</v>
      </c>
      <c r="H86" s="118" t="s">
        <v>1560</v>
      </c>
      <c r="I86" s="159">
        <v>860</v>
      </c>
      <c r="J86" s="159">
        <v>327.3</v>
      </c>
      <c r="K86" s="160">
        <v>0.24820999999999999</v>
      </c>
      <c r="L86" s="160">
        <v>3.88E-4</v>
      </c>
      <c r="M86" s="161">
        <f t="shared" si="5"/>
        <v>0.28147800000000001</v>
      </c>
      <c r="N86" s="161">
        <f t="shared" si="6"/>
        <v>3.326800000000002E-2</v>
      </c>
      <c r="O86" s="121">
        <f t="shared" si="7"/>
        <v>0.11819040919716646</v>
      </c>
      <c r="P86" s="162">
        <f>IF(E86="Hardox 450",INDEX('Sac Parametreleri'!$G$11:$G$24,MATCH(F86,'Sac Parametreleri'!$A$11:$A$24,0)),INDEX('Sac Parametreleri'!$E$11:$E$24,MATCH(F86,'Sac Parametreleri'!$A$11:$A$24,0)))</f>
        <v>62.800000000000004</v>
      </c>
      <c r="Q86" s="162">
        <f>INDEX('Sac Parametreleri'!$F$11:$F$24,MATCH(F86,'Sac Parametreleri'!$A$11:$A$24,0))</f>
        <v>25.690909090909091</v>
      </c>
      <c r="R86" s="163">
        <f t="shared" si="8"/>
        <v>16.822133236363637</v>
      </c>
      <c r="S86" s="163">
        <f t="shared" si="9"/>
        <v>16.822133236363637</v>
      </c>
      <c r="T86" s="122">
        <f>K86*F86*'Sac Parametreleri'!$B$6*G86</f>
        <v>19.484484999999999</v>
      </c>
      <c r="U86" s="122">
        <f>N86*F86*'Sac Parametreleri'!$B$6*G86</f>
        <v>2.6115380000000012</v>
      </c>
      <c r="V86" s="122">
        <f>M86*F86*'Sac Parametreleri'!$B$6*G86</f>
        <v>22.096022999999999</v>
      </c>
      <c r="W86" s="118" t="s">
        <v>85</v>
      </c>
    </row>
    <row r="87" spans="1:23" ht="15" customHeight="1" x14ac:dyDescent="0.25">
      <c r="A87" s="118" t="s">
        <v>527</v>
      </c>
      <c r="B87" s="118">
        <v>2</v>
      </c>
      <c r="C87" s="118" t="s">
        <v>1601</v>
      </c>
      <c r="D87" s="118" t="s">
        <v>416</v>
      </c>
      <c r="E87" s="118" t="s">
        <v>1552</v>
      </c>
      <c r="F87" s="118">
        <v>3</v>
      </c>
      <c r="G87" s="118">
        <v>2</v>
      </c>
      <c r="H87" s="118" t="s">
        <v>1551</v>
      </c>
      <c r="I87" s="159">
        <v>128</v>
      </c>
      <c r="J87" s="159">
        <v>104</v>
      </c>
      <c r="K87" s="160">
        <v>1.324E-2</v>
      </c>
      <c r="L87" s="160">
        <v>0</v>
      </c>
      <c r="M87" s="161">
        <f t="shared" si="5"/>
        <v>1.3311999999999999E-2</v>
      </c>
      <c r="N87" s="161">
        <f t="shared" si="6"/>
        <v>7.1999999999999148E-5</v>
      </c>
      <c r="O87" s="121">
        <f t="shared" si="7"/>
        <v>5.4086538461537827E-3</v>
      </c>
      <c r="P87" s="162">
        <f>IF(E87="Hardox 450",INDEX('Sac Parametreleri'!$G$11:$G$24,MATCH(F87,'Sac Parametreleri'!$A$11:$A$24,0)),INDEX('Sac Parametreleri'!$E$11:$E$24,MATCH(F87,'Sac Parametreleri'!$A$11:$A$24,0)))</f>
        <v>18.84</v>
      </c>
      <c r="Q87" s="162">
        <f>INDEX('Sac Parametreleri'!$F$11:$F$24,MATCH(F87,'Sac Parametreleri'!$A$11:$A$24,0))</f>
        <v>7.7072727272727262</v>
      </c>
      <c r="R87" s="163">
        <f t="shared" si="8"/>
        <v>0.25024315636363637</v>
      </c>
      <c r="S87" s="163">
        <f t="shared" si="9"/>
        <v>0.50048631272727273</v>
      </c>
      <c r="T87" s="122">
        <f>K87*F87*'Sac Parametreleri'!$B$6*G87</f>
        <v>0.62360399999999994</v>
      </c>
      <c r="U87" s="122">
        <f>N87*F87*'Sac Parametreleri'!$B$6*G87</f>
        <v>3.3911999999999597E-3</v>
      </c>
      <c r="V87" s="122">
        <f>M87*F87*'Sac Parametreleri'!$B$6*G87</f>
        <v>0.62699519999999997</v>
      </c>
      <c r="W87" s="118" t="s">
        <v>85</v>
      </c>
    </row>
    <row r="88" spans="1:23" ht="15" customHeight="1" x14ac:dyDescent="0.25">
      <c r="A88" s="118" t="s">
        <v>527</v>
      </c>
      <c r="B88" s="118">
        <v>3</v>
      </c>
      <c r="C88" s="118" t="s">
        <v>768</v>
      </c>
      <c r="D88" s="118" t="s">
        <v>700</v>
      </c>
      <c r="E88" s="118" t="s">
        <v>1552</v>
      </c>
      <c r="F88" s="118">
        <v>6</v>
      </c>
      <c r="G88" s="118">
        <v>1</v>
      </c>
      <c r="H88" s="118" t="s">
        <v>1560</v>
      </c>
      <c r="I88" s="159">
        <v>751.5</v>
      </c>
      <c r="J88" s="159">
        <v>118</v>
      </c>
      <c r="K88" s="160">
        <v>8.0248E-2</v>
      </c>
      <c r="L88" s="160">
        <v>8.43E-3</v>
      </c>
      <c r="M88" s="161">
        <f t="shared" si="5"/>
        <v>8.8677000000000006E-2</v>
      </c>
      <c r="N88" s="161">
        <f t="shared" si="6"/>
        <v>8.4290000000000059E-3</v>
      </c>
      <c r="O88" s="121">
        <f t="shared" si="7"/>
        <v>9.5052832188729952E-2</v>
      </c>
      <c r="P88" s="162">
        <f>IF(E88="Hardox 450",INDEX('Sac Parametreleri'!$G$11:$G$24,MATCH(F88,'Sac Parametreleri'!$A$11:$A$24,0)),INDEX('Sac Parametreleri'!$E$11:$E$24,MATCH(F88,'Sac Parametreleri'!$A$11:$A$24,0)))</f>
        <v>37.68</v>
      </c>
      <c r="Q88" s="162">
        <f>INDEX('Sac Parametreleri'!$F$11:$F$24,MATCH(F88,'Sac Parametreleri'!$A$11:$A$24,0))</f>
        <v>15.414545454545452</v>
      </c>
      <c r="R88" s="163">
        <f t="shared" si="8"/>
        <v>3.2114201563636366</v>
      </c>
      <c r="S88" s="163">
        <f t="shared" si="9"/>
        <v>3.2114201563636366</v>
      </c>
      <c r="T88" s="122">
        <f>K88*F88*'Sac Parametreleri'!$B$6*G88</f>
        <v>3.7796808</v>
      </c>
      <c r="U88" s="122">
        <f>N88*F88*'Sac Parametreleri'!$B$6*G88</f>
        <v>0.39700590000000024</v>
      </c>
      <c r="V88" s="122">
        <f>M88*F88*'Sac Parametreleri'!$B$6*G88</f>
        <v>4.1766867000000003</v>
      </c>
      <c r="W88" s="118" t="s">
        <v>85</v>
      </c>
    </row>
    <row r="89" spans="1:23" ht="15" customHeight="1" x14ac:dyDescent="0.25">
      <c r="A89" s="118" t="s">
        <v>527</v>
      </c>
      <c r="B89" s="118">
        <v>4</v>
      </c>
      <c r="C89" s="118" t="s">
        <v>1602</v>
      </c>
      <c r="D89" s="118" t="s">
        <v>416</v>
      </c>
      <c r="E89" s="118" t="s">
        <v>1552</v>
      </c>
      <c r="F89" s="118">
        <v>8</v>
      </c>
      <c r="G89" s="118">
        <v>2</v>
      </c>
      <c r="H89" s="118" t="s">
        <v>1551</v>
      </c>
      <c r="I89" s="159">
        <v>210</v>
      </c>
      <c r="J89" s="159">
        <v>90</v>
      </c>
      <c r="K89" s="160">
        <v>1.7912999999999998E-2</v>
      </c>
      <c r="L89" s="160">
        <v>8.8699999999999998E-4</v>
      </c>
      <c r="M89" s="161">
        <f t="shared" si="5"/>
        <v>1.89E-2</v>
      </c>
      <c r="N89" s="161">
        <f t="shared" si="6"/>
        <v>9.8700000000000176E-4</v>
      </c>
      <c r="O89" s="121">
        <f t="shared" si="7"/>
        <v>5.2222222222222316E-2</v>
      </c>
      <c r="P89" s="162">
        <f>IF(E89="Hardox 450",INDEX('Sac Parametreleri'!$G$11:$G$24,MATCH(F89,'Sac Parametreleri'!$A$11:$A$24,0)),INDEX('Sac Parametreleri'!$E$11:$E$24,MATCH(F89,'Sac Parametreleri'!$A$11:$A$24,0)))</f>
        <v>50.24</v>
      </c>
      <c r="Q89" s="162">
        <f>INDEX('Sac Parametreleri'!$F$11:$F$24,MATCH(F89,'Sac Parametreleri'!$A$11:$A$24,0))</f>
        <v>20.552727272727271</v>
      </c>
      <c r="R89" s="163">
        <f t="shared" si="8"/>
        <v>0.92925045818181817</v>
      </c>
      <c r="S89" s="163">
        <f t="shared" si="9"/>
        <v>1.8585009163636363</v>
      </c>
      <c r="T89" s="122">
        <f>K89*F89*'Sac Parametreleri'!$B$6*G89</f>
        <v>2.2498727999999999</v>
      </c>
      <c r="U89" s="122">
        <f>N89*F89*'Sac Parametreleri'!$B$6*G89</f>
        <v>0.12396720000000022</v>
      </c>
      <c r="V89" s="122">
        <f>M89*F89*'Sac Parametreleri'!$B$6*G89</f>
        <v>2.37384</v>
      </c>
      <c r="W89" s="118" t="s">
        <v>85</v>
      </c>
    </row>
    <row r="90" spans="1:23" ht="15" customHeight="1" x14ac:dyDescent="0.25">
      <c r="A90" s="118" t="s">
        <v>605</v>
      </c>
      <c r="B90" s="118">
        <v>1</v>
      </c>
      <c r="C90" s="118" t="s">
        <v>1603</v>
      </c>
      <c r="D90" s="118" t="s">
        <v>700</v>
      </c>
      <c r="E90" s="118" t="s">
        <v>1552</v>
      </c>
      <c r="F90" s="118">
        <v>15</v>
      </c>
      <c r="G90" s="118">
        <v>1</v>
      </c>
      <c r="H90" s="118" t="s">
        <v>1551</v>
      </c>
      <c r="I90" s="159">
        <v>539.9</v>
      </c>
      <c r="J90" s="159">
        <v>290</v>
      </c>
      <c r="K90" s="160">
        <v>0.13335</v>
      </c>
      <c r="L90" s="160">
        <v>3.6159999999999999E-3</v>
      </c>
      <c r="M90" s="161">
        <f t="shared" si="5"/>
        <v>0.15657099999999999</v>
      </c>
      <c r="N90" s="161">
        <f t="shared" si="6"/>
        <v>2.3220999999999992E-2</v>
      </c>
      <c r="O90" s="121">
        <f t="shared" si="7"/>
        <v>0.14830971252658534</v>
      </c>
      <c r="P90" s="162">
        <f>IF(E90="Hardox 450",INDEX('Sac Parametreleri'!$G$11:$G$24,MATCH(F90,'Sac Parametreleri'!$A$11:$A$24,0)),INDEX('Sac Parametreleri'!$E$11:$E$24,MATCH(F90,'Sac Parametreleri'!$A$11:$A$24,0)))</f>
        <v>94.2</v>
      </c>
      <c r="Q90" s="162">
        <f>INDEX('Sac Parametreleri'!$F$11:$F$24,MATCH(F90,'Sac Parametreleri'!$A$11:$A$24,0))</f>
        <v>38.536363636363639</v>
      </c>
      <c r="R90" s="163">
        <f t="shared" si="8"/>
        <v>13.854135299999999</v>
      </c>
      <c r="S90" s="163">
        <f t="shared" si="9"/>
        <v>13.854135299999999</v>
      </c>
      <c r="T90" s="122">
        <f>K90*F90*'Sac Parametreleri'!$B$6*G90</f>
        <v>15.701962499999999</v>
      </c>
      <c r="U90" s="122">
        <f>N90*F90*'Sac Parametreleri'!$B$6*G90</f>
        <v>2.7342727499999988</v>
      </c>
      <c r="V90" s="122">
        <f>M90*F90*'Sac Parametreleri'!$B$6*G90</f>
        <v>18.436235249999999</v>
      </c>
      <c r="W90" s="118" t="s">
        <v>85</v>
      </c>
    </row>
    <row r="91" spans="1:23" ht="15" customHeight="1" x14ac:dyDescent="0.25">
      <c r="A91" s="118" t="s">
        <v>605</v>
      </c>
      <c r="B91" s="118">
        <v>2</v>
      </c>
      <c r="C91" s="118" t="s">
        <v>1604</v>
      </c>
      <c r="D91" s="118" t="s">
        <v>700</v>
      </c>
      <c r="E91" s="118" t="s">
        <v>1552</v>
      </c>
      <c r="F91" s="118">
        <v>12</v>
      </c>
      <c r="G91" s="118">
        <v>2</v>
      </c>
      <c r="H91" s="118" t="s">
        <v>1551</v>
      </c>
      <c r="I91" s="159">
        <v>540</v>
      </c>
      <c r="J91" s="159">
        <v>92</v>
      </c>
      <c r="K91" s="160">
        <v>4.1739999999999999E-2</v>
      </c>
      <c r="L91" s="160">
        <v>0</v>
      </c>
      <c r="M91" s="161">
        <f t="shared" si="5"/>
        <v>4.9680000000000002E-2</v>
      </c>
      <c r="N91" s="161">
        <f t="shared" si="6"/>
        <v>7.9400000000000026E-3</v>
      </c>
      <c r="O91" s="121">
        <f t="shared" si="7"/>
        <v>0.15982286634460552</v>
      </c>
      <c r="P91" s="162">
        <f>IF(E91="Hardox 450",INDEX('Sac Parametreleri'!$G$11:$G$24,MATCH(F91,'Sac Parametreleri'!$A$11:$A$24,0)),INDEX('Sac Parametreleri'!$E$11:$E$24,MATCH(F91,'Sac Parametreleri'!$A$11:$A$24,0)))</f>
        <v>75.36</v>
      </c>
      <c r="Q91" s="162">
        <f>INDEX('Sac Parametreleri'!$F$11:$F$24,MATCH(F91,'Sac Parametreleri'!$A$11:$A$24,0))</f>
        <v>30.829090909090905</v>
      </c>
      <c r="R91" s="163">
        <f t="shared" si="8"/>
        <v>3.4991018181818183</v>
      </c>
      <c r="S91" s="163">
        <f t="shared" si="9"/>
        <v>6.9982036363636366</v>
      </c>
      <c r="T91" s="122">
        <f>K91*F91*'Sac Parametreleri'!$B$6*G91</f>
        <v>7.8638159999999999</v>
      </c>
      <c r="U91" s="122">
        <f>N91*F91*'Sac Parametreleri'!$B$6*G91</f>
        <v>1.4958960000000003</v>
      </c>
      <c r="V91" s="122">
        <f>M91*F91*'Sac Parametreleri'!$B$6*G91</f>
        <v>9.359712</v>
      </c>
      <c r="W91" s="118" t="s">
        <v>85</v>
      </c>
    </row>
    <row r="92" spans="1:23" ht="15" customHeight="1" x14ac:dyDescent="0.25">
      <c r="A92" s="118" t="s">
        <v>606</v>
      </c>
      <c r="B92" s="118">
        <v>1</v>
      </c>
      <c r="C92" s="118" t="s">
        <v>1605</v>
      </c>
      <c r="D92" s="118" t="s">
        <v>700</v>
      </c>
      <c r="E92" s="118" t="s">
        <v>1552</v>
      </c>
      <c r="F92" s="118">
        <v>15</v>
      </c>
      <c r="G92" s="118">
        <v>1</v>
      </c>
      <c r="H92" s="118" t="s">
        <v>1551</v>
      </c>
      <c r="I92" s="159">
        <v>539.9</v>
      </c>
      <c r="J92" s="159">
        <v>290</v>
      </c>
      <c r="K92" s="160">
        <v>0.13335</v>
      </c>
      <c r="L92" s="160">
        <v>3.6159999999999999E-3</v>
      </c>
      <c r="M92" s="161">
        <f t="shared" si="5"/>
        <v>0.15657099999999999</v>
      </c>
      <c r="N92" s="161">
        <f t="shared" si="6"/>
        <v>2.3220999999999992E-2</v>
      </c>
      <c r="O92" s="121">
        <f t="shared" si="7"/>
        <v>0.14830971252658534</v>
      </c>
      <c r="P92" s="162">
        <f>IF(E92="Hardox 450",INDEX('Sac Parametreleri'!$G$11:$G$24,MATCH(F92,'Sac Parametreleri'!$A$11:$A$24,0)),INDEX('Sac Parametreleri'!$E$11:$E$24,MATCH(F92,'Sac Parametreleri'!$A$11:$A$24,0)))</f>
        <v>94.2</v>
      </c>
      <c r="Q92" s="162">
        <f>INDEX('Sac Parametreleri'!$F$11:$F$24,MATCH(F92,'Sac Parametreleri'!$A$11:$A$24,0))</f>
        <v>38.536363636363639</v>
      </c>
      <c r="R92" s="163">
        <f t="shared" si="8"/>
        <v>13.854135299999999</v>
      </c>
      <c r="S92" s="163">
        <f t="shared" si="9"/>
        <v>13.854135299999999</v>
      </c>
      <c r="T92" s="122">
        <f>K92*F92*'Sac Parametreleri'!$B$6*G92</f>
        <v>15.701962499999999</v>
      </c>
      <c r="U92" s="122">
        <f>N92*F92*'Sac Parametreleri'!$B$6*G92</f>
        <v>2.7342727499999988</v>
      </c>
      <c r="V92" s="122">
        <f>M92*F92*'Sac Parametreleri'!$B$6*G92</f>
        <v>18.436235249999999</v>
      </c>
      <c r="W92" s="118" t="s">
        <v>85</v>
      </c>
    </row>
    <row r="93" spans="1:23" ht="15" customHeight="1" x14ac:dyDescent="0.25">
      <c r="A93" s="118" t="s">
        <v>606</v>
      </c>
      <c r="B93" s="118">
        <v>2</v>
      </c>
      <c r="C93" s="118" t="s">
        <v>1606</v>
      </c>
      <c r="D93" s="118" t="s">
        <v>700</v>
      </c>
      <c r="E93" s="118" t="s">
        <v>1552</v>
      </c>
      <c r="F93" s="118">
        <v>12</v>
      </c>
      <c r="G93" s="118">
        <v>2</v>
      </c>
      <c r="H93" s="118" t="s">
        <v>1551</v>
      </c>
      <c r="I93" s="159">
        <v>510</v>
      </c>
      <c r="J93" s="159">
        <v>92</v>
      </c>
      <c r="K93" s="160">
        <v>3.9294999999999997E-2</v>
      </c>
      <c r="L93" s="160">
        <v>0</v>
      </c>
      <c r="M93" s="161">
        <f t="shared" si="5"/>
        <v>4.6920000000000003E-2</v>
      </c>
      <c r="N93" s="161">
        <f t="shared" si="6"/>
        <v>7.6250000000000068E-3</v>
      </c>
      <c r="O93" s="121">
        <f t="shared" si="7"/>
        <v>0.16251065643648777</v>
      </c>
      <c r="P93" s="162">
        <f>IF(E93="Hardox 450",INDEX('Sac Parametreleri'!$G$11:$G$24,MATCH(F93,'Sac Parametreleri'!$A$11:$A$24,0)),INDEX('Sac Parametreleri'!$E$11:$E$24,MATCH(F93,'Sac Parametreleri'!$A$11:$A$24,0)))</f>
        <v>75.36</v>
      </c>
      <c r="Q93" s="162">
        <f>INDEX('Sac Parametreleri'!$F$11:$F$24,MATCH(F93,'Sac Parametreleri'!$A$11:$A$24,0))</f>
        <v>30.829090909090905</v>
      </c>
      <c r="R93" s="163">
        <f t="shared" si="8"/>
        <v>3.3008193818181817</v>
      </c>
      <c r="S93" s="163">
        <f t="shared" si="9"/>
        <v>6.6016387636363634</v>
      </c>
      <c r="T93" s="122">
        <f>K93*F93*'Sac Parametreleri'!$B$6*G93</f>
        <v>7.4031779999999987</v>
      </c>
      <c r="U93" s="122">
        <f>N93*F93*'Sac Parametreleri'!$B$6*G93</f>
        <v>1.4365500000000011</v>
      </c>
      <c r="V93" s="122">
        <f>M93*F93*'Sac Parametreleri'!$B$6*G93</f>
        <v>8.8397279999999991</v>
      </c>
      <c r="W93" s="118" t="s">
        <v>85</v>
      </c>
    </row>
    <row r="94" spans="1:23" ht="15" customHeight="1" x14ac:dyDescent="0.25">
      <c r="A94" s="118" t="s">
        <v>537</v>
      </c>
      <c r="B94" s="118">
        <v>1</v>
      </c>
      <c r="C94" s="118" t="s">
        <v>1607</v>
      </c>
      <c r="D94" s="118" t="s">
        <v>700</v>
      </c>
      <c r="E94" s="118" t="s">
        <v>1552</v>
      </c>
      <c r="F94" s="118">
        <v>15</v>
      </c>
      <c r="G94" s="118">
        <v>1</v>
      </c>
      <c r="H94" s="118" t="s">
        <v>1551</v>
      </c>
      <c r="I94" s="159">
        <v>549.9</v>
      </c>
      <c r="J94" s="159">
        <v>290</v>
      </c>
      <c r="K94" s="160">
        <v>0.13153999999999999</v>
      </c>
      <c r="L94" s="160">
        <v>2.7810000000000001E-3</v>
      </c>
      <c r="M94" s="161">
        <f t="shared" si="5"/>
        <v>0.159471</v>
      </c>
      <c r="N94" s="161">
        <f t="shared" si="6"/>
        <v>2.7931000000000011E-2</v>
      </c>
      <c r="O94" s="121">
        <f t="shared" si="7"/>
        <v>0.17514783252127353</v>
      </c>
      <c r="P94" s="162">
        <f>IF(E94="Hardox 450",INDEX('Sac Parametreleri'!$G$11:$G$24,MATCH(F94,'Sac Parametreleri'!$A$11:$A$24,0)),INDEX('Sac Parametreleri'!$E$11:$E$24,MATCH(F94,'Sac Parametreleri'!$A$11:$A$24,0)))</f>
        <v>94.2</v>
      </c>
      <c r="Q94" s="162">
        <f>INDEX('Sac Parametreleri'!$F$11:$F$24,MATCH(F94,'Sac Parametreleri'!$A$11:$A$24,0))</f>
        <v>38.536363636363639</v>
      </c>
      <c r="R94" s="163">
        <f t="shared" si="8"/>
        <v>13.945809027272729</v>
      </c>
      <c r="S94" s="163">
        <f t="shared" si="9"/>
        <v>13.945809027272729</v>
      </c>
      <c r="T94" s="122">
        <f>K94*F94*'Sac Parametreleri'!$B$6*G94</f>
        <v>15.488834999999998</v>
      </c>
      <c r="U94" s="122">
        <f>N94*F94*'Sac Parametreleri'!$B$6*G94</f>
        <v>3.2888752500000011</v>
      </c>
      <c r="V94" s="122">
        <f>M94*F94*'Sac Parametreleri'!$B$6*G94</f>
        <v>18.777710249999998</v>
      </c>
      <c r="W94" s="118" t="s">
        <v>85</v>
      </c>
    </row>
    <row r="95" spans="1:23" ht="15" customHeight="1" x14ac:dyDescent="0.25">
      <c r="A95" s="118" t="s">
        <v>537</v>
      </c>
      <c r="B95" s="118">
        <v>2</v>
      </c>
      <c r="C95" s="118" t="s">
        <v>1608</v>
      </c>
      <c r="D95" s="118" t="s">
        <v>1609</v>
      </c>
      <c r="E95" s="118" t="s">
        <v>1552</v>
      </c>
      <c r="F95" s="118">
        <v>12</v>
      </c>
      <c r="G95" s="118">
        <v>2</v>
      </c>
      <c r="H95" s="118" t="s">
        <v>1551</v>
      </c>
      <c r="I95" s="159">
        <v>425</v>
      </c>
      <c r="J95" s="159">
        <v>115</v>
      </c>
      <c r="K95" s="160">
        <v>3.2703999999999997E-2</v>
      </c>
      <c r="L95" s="160">
        <v>0</v>
      </c>
      <c r="M95" s="161">
        <f t="shared" si="5"/>
        <v>4.8875000000000002E-2</v>
      </c>
      <c r="N95" s="161">
        <f t="shared" si="6"/>
        <v>1.6171000000000005E-2</v>
      </c>
      <c r="O95" s="121">
        <f t="shared" si="7"/>
        <v>0.33086445012787735</v>
      </c>
      <c r="P95" s="162">
        <f>IF(E95="Hardox 450",INDEX('Sac Parametreleri'!$G$11:$G$24,MATCH(F95,'Sac Parametreleri'!$A$11:$A$24,0)),INDEX('Sac Parametreleri'!$E$11:$E$24,MATCH(F95,'Sac Parametreleri'!$A$11:$A$24,0)))</f>
        <v>75.36</v>
      </c>
      <c r="Q95" s="162">
        <f>INDEX('Sac Parametreleri'!$F$11:$F$24,MATCH(F95,'Sac Parametreleri'!$A$11:$A$24,0))</f>
        <v>30.829090909090905</v>
      </c>
      <c r="R95" s="163">
        <f t="shared" si="8"/>
        <v>3.1846827709090908</v>
      </c>
      <c r="S95" s="163">
        <f t="shared" si="9"/>
        <v>6.3693655418181816</v>
      </c>
      <c r="T95" s="122">
        <f>K95*F95*'Sac Parametreleri'!$B$6*G95</f>
        <v>6.1614335999999987</v>
      </c>
      <c r="U95" s="122">
        <f>N95*F95*'Sac Parametreleri'!$B$6*G95</f>
        <v>3.0466164000000009</v>
      </c>
      <c r="V95" s="122">
        <f>M95*F95*'Sac Parametreleri'!$B$6*G95</f>
        <v>9.2080500000000001</v>
      </c>
      <c r="W95" s="118" t="s">
        <v>85</v>
      </c>
    </row>
    <row r="96" spans="1:23" ht="15" customHeight="1" x14ac:dyDescent="0.25">
      <c r="A96" s="118" t="s">
        <v>595</v>
      </c>
      <c r="B96" s="118">
        <v>1</v>
      </c>
      <c r="C96" s="118" t="s">
        <v>889</v>
      </c>
      <c r="D96" s="118" t="s">
        <v>890</v>
      </c>
      <c r="E96" s="118" t="s">
        <v>1552</v>
      </c>
      <c r="F96" s="118">
        <v>8</v>
      </c>
      <c r="G96" s="118">
        <v>1</v>
      </c>
      <c r="H96" s="118" t="s">
        <v>1560</v>
      </c>
      <c r="I96" s="159">
        <v>904</v>
      </c>
      <c r="J96" s="159">
        <v>323.7</v>
      </c>
      <c r="K96" s="160">
        <v>0.25975700000000002</v>
      </c>
      <c r="L96" s="160">
        <v>6.2600000000000004E-4</v>
      </c>
      <c r="M96" s="161">
        <f t="shared" si="5"/>
        <v>0.29262479999999996</v>
      </c>
      <c r="N96" s="161">
        <f t="shared" si="6"/>
        <v>3.2867799999999947E-2</v>
      </c>
      <c r="O96" s="121">
        <f t="shared" si="7"/>
        <v>0.11232062354250204</v>
      </c>
      <c r="P96" s="162">
        <f>IF(E96="Hardox 450",INDEX('Sac Parametreleri'!$G$11:$G$24,MATCH(F96,'Sac Parametreleri'!$A$11:$A$24,0)),INDEX('Sac Parametreleri'!$E$11:$E$24,MATCH(F96,'Sac Parametreleri'!$A$11:$A$24,0)))</f>
        <v>50.24</v>
      </c>
      <c r="Q96" s="162">
        <f>INDEX('Sac Parametreleri'!$F$11:$F$24,MATCH(F96,'Sac Parametreleri'!$A$11:$A$24,0))</f>
        <v>20.552727272727271</v>
      </c>
      <c r="R96" s="163">
        <f t="shared" si="8"/>
        <v>14.025947022545454</v>
      </c>
      <c r="S96" s="163">
        <f t="shared" si="9"/>
        <v>14.025947022545454</v>
      </c>
      <c r="T96" s="122">
        <f>K96*F96*'Sac Parametreleri'!$B$6*G96</f>
        <v>16.3127396</v>
      </c>
      <c r="U96" s="122">
        <f>N96*F96*'Sac Parametreleri'!$B$6*G96</f>
        <v>2.0640978399999965</v>
      </c>
      <c r="V96" s="122">
        <f>M96*F96*'Sac Parametreleri'!$B$6*G96</f>
        <v>18.376837439999996</v>
      </c>
      <c r="W96" s="118" t="s">
        <v>85</v>
      </c>
    </row>
    <row r="97" spans="1:23" ht="15" customHeight="1" x14ac:dyDescent="0.25">
      <c r="A97" s="118" t="s">
        <v>595</v>
      </c>
      <c r="B97" s="118">
        <v>2</v>
      </c>
      <c r="C97" s="118" t="s">
        <v>1610</v>
      </c>
      <c r="D97" s="118" t="s">
        <v>1611</v>
      </c>
      <c r="E97" s="118" t="s">
        <v>1552</v>
      </c>
      <c r="F97" s="118">
        <v>8</v>
      </c>
      <c r="G97" s="118">
        <v>2</v>
      </c>
      <c r="H97" s="118" t="s">
        <v>1551</v>
      </c>
      <c r="I97" s="159">
        <v>232</v>
      </c>
      <c r="J97" s="159">
        <v>114</v>
      </c>
      <c r="K97" s="160">
        <v>2.5457E-2</v>
      </c>
      <c r="L97" s="160">
        <v>8.8699999999999998E-4</v>
      </c>
      <c r="M97" s="161">
        <f t="shared" si="5"/>
        <v>2.6447999999999999E-2</v>
      </c>
      <c r="N97" s="161">
        <f t="shared" si="6"/>
        <v>9.9099999999999883E-4</v>
      </c>
      <c r="O97" s="121">
        <f t="shared" si="7"/>
        <v>3.7469751966122157E-2</v>
      </c>
      <c r="P97" s="162">
        <f>IF(E97="Hardox 450",INDEX('Sac Parametreleri'!$G$11:$G$24,MATCH(F97,'Sac Parametreleri'!$A$11:$A$24,0)),INDEX('Sac Parametreleri'!$E$11:$E$24,MATCH(F97,'Sac Parametreleri'!$A$11:$A$24,0)))</f>
        <v>50.24</v>
      </c>
      <c r="Q97" s="162">
        <f>INDEX('Sac Parametreleri'!$F$11:$F$24,MATCH(F97,'Sac Parametreleri'!$A$11:$A$24,0))</f>
        <v>20.552727272727271</v>
      </c>
      <c r="R97" s="163">
        <f t="shared" si="8"/>
        <v>1.3083797672727273</v>
      </c>
      <c r="S97" s="163">
        <f t="shared" si="9"/>
        <v>2.6167595345454546</v>
      </c>
      <c r="T97" s="122">
        <f>K97*F97*'Sac Parametreleri'!$B$6*G97</f>
        <v>3.1973992</v>
      </c>
      <c r="U97" s="122">
        <f>N97*F97*'Sac Parametreleri'!$B$6*G97</f>
        <v>0.12446959999999985</v>
      </c>
      <c r="V97" s="122">
        <f>M97*F97*'Sac Parametreleri'!$B$6*G97</f>
        <v>3.3218687999999998</v>
      </c>
      <c r="W97" s="118" t="s">
        <v>85</v>
      </c>
    </row>
    <row r="98" spans="1:23" ht="15" customHeight="1" x14ac:dyDescent="0.25">
      <c r="A98" s="118" t="s">
        <v>595</v>
      </c>
      <c r="B98" s="118">
        <v>3</v>
      </c>
      <c r="C98" s="118" t="s">
        <v>1612</v>
      </c>
      <c r="D98" s="118" t="s">
        <v>1613</v>
      </c>
      <c r="E98" s="118" t="s">
        <v>1552</v>
      </c>
      <c r="F98" s="118">
        <v>5</v>
      </c>
      <c r="G98" s="118">
        <v>2</v>
      </c>
      <c r="H98" s="118" t="s">
        <v>1551</v>
      </c>
      <c r="I98" s="159">
        <v>118</v>
      </c>
      <c r="J98" s="159">
        <v>104</v>
      </c>
      <c r="K98" s="160">
        <v>1.2203E-2</v>
      </c>
      <c r="L98" s="160">
        <v>0</v>
      </c>
      <c r="M98" s="161">
        <f t="shared" si="5"/>
        <v>1.2272E-2</v>
      </c>
      <c r="N98" s="161">
        <f t="shared" si="6"/>
        <v>6.8999999999999617E-5</v>
      </c>
      <c r="O98" s="121">
        <f t="shared" si="7"/>
        <v>5.622555410690973E-3</v>
      </c>
      <c r="P98" s="162">
        <f>IF(E98="Hardox 450",INDEX('Sac Parametreleri'!$G$11:$G$24,MATCH(F98,'Sac Parametreleri'!$A$11:$A$24,0)),INDEX('Sac Parametreleri'!$E$11:$E$24,MATCH(F98,'Sac Parametreleri'!$A$11:$A$24,0)))</f>
        <v>31.400000000000002</v>
      </c>
      <c r="Q98" s="162">
        <f>INDEX('Sac Parametreleri'!$F$11:$F$24,MATCH(F98,'Sac Parametreleri'!$A$11:$A$24,0))</f>
        <v>12.845454545454546</v>
      </c>
      <c r="R98" s="163">
        <f t="shared" si="8"/>
        <v>0.38445446363636365</v>
      </c>
      <c r="S98" s="163">
        <f t="shared" si="9"/>
        <v>0.76890892727272731</v>
      </c>
      <c r="T98" s="122">
        <f>K98*F98*'Sac Parametreleri'!$B$6*G98</f>
        <v>0.95793549999999994</v>
      </c>
      <c r="U98" s="122">
        <f>N98*F98*'Sac Parametreleri'!$B$6*G98</f>
        <v>5.4164999999999699E-3</v>
      </c>
      <c r="V98" s="122">
        <f>M98*F98*'Sac Parametreleri'!$B$6*G98</f>
        <v>0.96335199999999988</v>
      </c>
      <c r="W98" s="118" t="s">
        <v>85</v>
      </c>
    </row>
    <row r="99" spans="1:23" ht="15" customHeight="1" x14ac:dyDescent="0.25">
      <c r="A99" s="118" t="s">
        <v>595</v>
      </c>
      <c r="B99" s="118">
        <v>4</v>
      </c>
      <c r="C99" s="118" t="s">
        <v>1614</v>
      </c>
      <c r="D99" s="118" t="s">
        <v>1615</v>
      </c>
      <c r="E99" s="118" t="s">
        <v>1552</v>
      </c>
      <c r="F99" s="118">
        <v>10</v>
      </c>
      <c r="G99" s="118">
        <v>2</v>
      </c>
      <c r="H99" s="118" t="s">
        <v>1551</v>
      </c>
      <c r="I99" s="159">
        <v>114</v>
      </c>
      <c r="J99" s="159">
        <v>50</v>
      </c>
      <c r="K99" s="160">
        <v>5.7000000000000002E-3</v>
      </c>
      <c r="L99" s="160">
        <v>0</v>
      </c>
      <c r="M99" s="161">
        <f t="shared" si="5"/>
        <v>5.7000000000000002E-3</v>
      </c>
      <c r="N99" s="161">
        <f t="shared" si="6"/>
        <v>0</v>
      </c>
      <c r="O99" s="121">
        <f t="shared" si="7"/>
        <v>0</v>
      </c>
      <c r="P99" s="162">
        <f>IF(E99="Hardox 450",INDEX('Sac Parametreleri'!$G$11:$G$24,MATCH(F99,'Sac Parametreleri'!$A$11:$A$24,0)),INDEX('Sac Parametreleri'!$E$11:$E$24,MATCH(F99,'Sac Parametreleri'!$A$11:$A$24,0)))</f>
        <v>62.800000000000004</v>
      </c>
      <c r="Q99" s="162">
        <f>INDEX('Sac Parametreleri'!$F$11:$F$24,MATCH(F99,'Sac Parametreleri'!$A$11:$A$24,0))</f>
        <v>25.690909090909091</v>
      </c>
      <c r="R99" s="163">
        <f t="shared" si="8"/>
        <v>0.35796000000000006</v>
      </c>
      <c r="S99" s="163">
        <f t="shared" si="9"/>
        <v>0.71592000000000011</v>
      </c>
      <c r="T99" s="122">
        <f>K99*F99*'Sac Parametreleri'!$B$6*G99</f>
        <v>0.89490000000000003</v>
      </c>
      <c r="U99" s="122">
        <f>N99*F99*'Sac Parametreleri'!$B$6*G99</f>
        <v>0</v>
      </c>
      <c r="V99" s="122">
        <f>M99*F99*'Sac Parametreleri'!$B$6*G99</f>
        <v>0.89490000000000003</v>
      </c>
      <c r="W99" s="118" t="s">
        <v>85</v>
      </c>
    </row>
    <row r="100" spans="1:23" ht="15" customHeight="1" x14ac:dyDescent="0.25">
      <c r="A100" s="118" t="s">
        <v>572</v>
      </c>
      <c r="B100" s="118">
        <v>1</v>
      </c>
      <c r="C100" s="118" t="s">
        <v>1616</v>
      </c>
      <c r="D100" s="118" t="s">
        <v>1617</v>
      </c>
      <c r="E100" s="118" t="s">
        <v>1552</v>
      </c>
      <c r="F100" s="118">
        <v>6</v>
      </c>
      <c r="G100" s="118">
        <v>2</v>
      </c>
      <c r="H100" s="118" t="s">
        <v>1551</v>
      </c>
      <c r="I100" s="159">
        <v>686</v>
      </c>
      <c r="J100" s="159">
        <v>170</v>
      </c>
      <c r="K100" s="160">
        <v>7.4575000000000002E-2</v>
      </c>
      <c r="L100" s="160">
        <v>5.855E-3</v>
      </c>
      <c r="M100" s="161">
        <f t="shared" si="5"/>
        <v>0.11662</v>
      </c>
      <c r="N100" s="161">
        <f t="shared" si="6"/>
        <v>4.2044999999999999E-2</v>
      </c>
      <c r="O100" s="121">
        <f t="shared" si="7"/>
        <v>0.36052992625621677</v>
      </c>
      <c r="P100" s="162">
        <f>IF(E100="Hardox 450",INDEX('Sac Parametreleri'!$G$11:$G$24,MATCH(F100,'Sac Parametreleri'!$A$11:$A$24,0)),INDEX('Sac Parametreleri'!$E$11:$E$24,MATCH(F100,'Sac Parametreleri'!$A$11:$A$24,0)))</f>
        <v>37.68</v>
      </c>
      <c r="Q100" s="162">
        <f>INDEX('Sac Parametreleri'!$F$11:$F$24,MATCH(F100,'Sac Parametreleri'!$A$11:$A$24,0))</f>
        <v>15.414545454545452</v>
      </c>
      <c r="R100" s="163">
        <f t="shared" si="8"/>
        <v>3.7461370363636366</v>
      </c>
      <c r="S100" s="163">
        <f t="shared" si="9"/>
        <v>7.4922740727272732</v>
      </c>
      <c r="T100" s="122">
        <f>K100*F100*'Sac Parametreleri'!$B$6*G100</f>
        <v>7.0249649999999999</v>
      </c>
      <c r="U100" s="122">
        <f>N100*F100*'Sac Parametreleri'!$B$6*G100</f>
        <v>3.9606389999999996</v>
      </c>
      <c r="V100" s="122">
        <f>M100*F100*'Sac Parametreleri'!$B$6*G100</f>
        <v>10.985604</v>
      </c>
      <c r="W100" s="118" t="s">
        <v>85</v>
      </c>
    </row>
    <row r="101" spans="1:23" ht="15" customHeight="1" x14ac:dyDescent="0.25">
      <c r="A101" s="118" t="s">
        <v>572</v>
      </c>
      <c r="B101" s="118">
        <v>2</v>
      </c>
      <c r="C101" s="118" t="s">
        <v>961</v>
      </c>
      <c r="D101" s="118" t="s">
        <v>962</v>
      </c>
      <c r="E101" s="118" t="s">
        <v>1552</v>
      </c>
      <c r="F101" s="118">
        <v>6</v>
      </c>
      <c r="G101" s="118">
        <v>2</v>
      </c>
      <c r="H101" s="118" t="s">
        <v>1554</v>
      </c>
      <c r="I101" s="159">
        <v>278.39999999999998</v>
      </c>
      <c r="J101" s="159">
        <v>220</v>
      </c>
      <c r="K101" s="160">
        <v>6.1245000000000001E-2</v>
      </c>
      <c r="L101" s="160">
        <v>0</v>
      </c>
      <c r="M101" s="161">
        <f t="shared" si="5"/>
        <v>6.124799999999999E-2</v>
      </c>
      <c r="N101" s="161">
        <f t="shared" si="6"/>
        <v>2.9999999999891225E-6</v>
      </c>
      <c r="O101" s="121">
        <f t="shared" si="7"/>
        <v>4.8981191222392945E-5</v>
      </c>
      <c r="P101" s="162">
        <f>IF(E101="Hardox 450",INDEX('Sac Parametreleri'!$G$11:$G$24,MATCH(F101,'Sac Parametreleri'!$A$11:$A$24,0)),INDEX('Sac Parametreleri'!$E$11:$E$24,MATCH(F101,'Sac Parametreleri'!$A$11:$A$24,0)))</f>
        <v>37.68</v>
      </c>
      <c r="Q101" s="162">
        <f>INDEX('Sac Parametreleri'!$F$11:$F$24,MATCH(F101,'Sac Parametreleri'!$A$11:$A$24,0))</f>
        <v>15.414545454545452</v>
      </c>
      <c r="R101" s="163">
        <f t="shared" si="8"/>
        <v>2.3077783963636365</v>
      </c>
      <c r="S101" s="163">
        <f t="shared" si="9"/>
        <v>4.6155567927272729</v>
      </c>
      <c r="T101" s="122">
        <f>K101*F101*'Sac Parametreleri'!$B$6*G101</f>
        <v>5.769279</v>
      </c>
      <c r="U101" s="122">
        <f>N101*F101*'Sac Parametreleri'!$B$6*G101</f>
        <v>2.825999999989753E-4</v>
      </c>
      <c r="V101" s="122">
        <f>M101*F101*'Sac Parametreleri'!$B$6*G101</f>
        <v>5.7695615999999985</v>
      </c>
      <c r="W101" s="118" t="s">
        <v>85</v>
      </c>
    </row>
    <row r="102" spans="1:23" ht="15" customHeight="1" x14ac:dyDescent="0.25">
      <c r="A102" s="118" t="s">
        <v>572</v>
      </c>
      <c r="B102" s="118">
        <v>3</v>
      </c>
      <c r="C102" s="118" t="s">
        <v>1618</v>
      </c>
      <c r="D102" s="118" t="s">
        <v>1619</v>
      </c>
      <c r="E102" s="118" t="s">
        <v>1552</v>
      </c>
      <c r="F102" s="118">
        <v>6</v>
      </c>
      <c r="G102" s="118">
        <v>1</v>
      </c>
      <c r="H102" s="118" t="s">
        <v>1551</v>
      </c>
      <c r="I102" s="159">
        <v>546</v>
      </c>
      <c r="J102" s="159">
        <v>100</v>
      </c>
      <c r="K102" s="160">
        <v>4.6171999999999998E-2</v>
      </c>
      <c r="L102" s="160">
        <v>8.4329999999999995E-3</v>
      </c>
      <c r="M102" s="161">
        <f t="shared" si="5"/>
        <v>5.4600000000000003E-2</v>
      </c>
      <c r="N102" s="161">
        <f t="shared" si="6"/>
        <v>8.4280000000000049E-3</v>
      </c>
      <c r="O102" s="121">
        <f t="shared" si="7"/>
        <v>0.15435897435897444</v>
      </c>
      <c r="P102" s="162">
        <f>IF(E102="Hardox 450",INDEX('Sac Parametreleri'!$G$11:$G$24,MATCH(F102,'Sac Parametreleri'!$A$11:$A$24,0)),INDEX('Sac Parametreleri'!$E$11:$E$24,MATCH(F102,'Sac Parametreleri'!$A$11:$A$24,0)))</f>
        <v>37.68</v>
      </c>
      <c r="Q102" s="162">
        <f>INDEX('Sac Parametreleri'!$F$11:$F$24,MATCH(F102,'Sac Parametreleri'!$A$11:$A$24,0))</f>
        <v>15.414545454545452</v>
      </c>
      <c r="R102" s="163">
        <f t="shared" si="8"/>
        <v>1.9274142109090908</v>
      </c>
      <c r="S102" s="163">
        <f t="shared" si="9"/>
        <v>1.9274142109090908</v>
      </c>
      <c r="T102" s="122">
        <f>K102*F102*'Sac Parametreleri'!$B$6*G102</f>
        <v>2.1747011999999999</v>
      </c>
      <c r="U102" s="122">
        <f>N102*F102*'Sac Parametreleri'!$B$6*G102</f>
        <v>0.39695880000000022</v>
      </c>
      <c r="V102" s="122">
        <f>M102*F102*'Sac Parametreleri'!$B$6*G102</f>
        <v>2.5716600000000001</v>
      </c>
      <c r="W102" s="118" t="s">
        <v>85</v>
      </c>
    </row>
    <row r="103" spans="1:23" ht="15" customHeight="1" x14ac:dyDescent="0.25">
      <c r="A103" s="118" t="s">
        <v>572</v>
      </c>
      <c r="B103" s="118">
        <v>4</v>
      </c>
      <c r="C103" s="118" t="s">
        <v>1620</v>
      </c>
      <c r="D103" s="118" t="s">
        <v>1621</v>
      </c>
      <c r="E103" s="118" t="s">
        <v>1552</v>
      </c>
      <c r="F103" s="118">
        <v>6</v>
      </c>
      <c r="G103" s="118">
        <v>1</v>
      </c>
      <c r="H103" s="118" t="s">
        <v>1551</v>
      </c>
      <c r="I103" s="159">
        <v>686</v>
      </c>
      <c r="J103" s="159">
        <v>200</v>
      </c>
      <c r="K103" s="160">
        <v>9.9819000000000005E-2</v>
      </c>
      <c r="L103" s="160">
        <v>5.8529999999999997E-3</v>
      </c>
      <c r="M103" s="161">
        <f t="shared" si="5"/>
        <v>0.13719999999999999</v>
      </c>
      <c r="N103" s="161">
        <f t="shared" si="6"/>
        <v>3.7380999999999984E-2</v>
      </c>
      <c r="O103" s="121">
        <f t="shared" si="7"/>
        <v>0.27245626822157426</v>
      </c>
      <c r="P103" s="162">
        <f>IF(E103="Hardox 450",INDEX('Sac Parametreleri'!$G$11:$G$24,MATCH(F103,'Sac Parametreleri'!$A$11:$A$24,0)),INDEX('Sac Parametreleri'!$E$11:$E$24,MATCH(F103,'Sac Parametreleri'!$A$11:$A$24,0)))</f>
        <v>37.68</v>
      </c>
      <c r="Q103" s="162">
        <f>INDEX('Sac Parametreleri'!$F$11:$F$24,MATCH(F103,'Sac Parametreleri'!$A$11:$A$24,0))</f>
        <v>15.414545454545452</v>
      </c>
      <c r="R103" s="163">
        <f t="shared" si="8"/>
        <v>4.593484876363636</v>
      </c>
      <c r="S103" s="163">
        <f t="shared" si="9"/>
        <v>4.593484876363636</v>
      </c>
      <c r="T103" s="122">
        <f>K103*F103*'Sac Parametreleri'!$B$6*G103</f>
        <v>4.7014749</v>
      </c>
      <c r="U103" s="122">
        <f>N103*F103*'Sac Parametreleri'!$B$6*G103</f>
        <v>1.7606450999999992</v>
      </c>
      <c r="V103" s="122">
        <f>M103*F103*'Sac Parametreleri'!$B$6*G103</f>
        <v>6.4621199999999988</v>
      </c>
      <c r="W103" s="118" t="s">
        <v>85</v>
      </c>
    </row>
    <row r="104" spans="1:23" ht="15" customHeight="1" x14ac:dyDescent="0.25">
      <c r="A104" s="118" t="s">
        <v>536</v>
      </c>
      <c r="B104" s="118">
        <v>1</v>
      </c>
      <c r="C104" s="118" t="s">
        <v>1622</v>
      </c>
      <c r="D104" s="118" t="s">
        <v>700</v>
      </c>
      <c r="E104" s="118" t="s">
        <v>1552</v>
      </c>
      <c r="F104" s="118">
        <v>5</v>
      </c>
      <c r="G104" s="118">
        <v>1</v>
      </c>
      <c r="H104" s="118" t="s">
        <v>1551</v>
      </c>
      <c r="I104" s="159">
        <v>700.5</v>
      </c>
      <c r="J104" s="159">
        <v>340</v>
      </c>
      <c r="K104" s="160">
        <v>0.11526</v>
      </c>
      <c r="L104" s="160">
        <v>8.7900000000000001E-4</v>
      </c>
      <c r="M104" s="161">
        <f t="shared" si="5"/>
        <v>0.23816999999999999</v>
      </c>
      <c r="N104" s="161">
        <f t="shared" si="6"/>
        <v>0.12290999999999999</v>
      </c>
      <c r="O104" s="121">
        <f t="shared" si="7"/>
        <v>0.51605995717344755</v>
      </c>
      <c r="P104" s="162">
        <f>IF(E104="Hardox 450",INDEX('Sac Parametreleri'!$G$11:$G$24,MATCH(F104,'Sac Parametreleri'!$A$11:$A$24,0)),INDEX('Sac Parametreleri'!$E$11:$E$24,MATCH(F104,'Sac Parametreleri'!$A$11:$A$24,0)))</f>
        <v>31.400000000000002</v>
      </c>
      <c r="Q104" s="162">
        <f>INDEX('Sac Parametreleri'!$F$11:$F$24,MATCH(F104,'Sac Parametreleri'!$A$11:$A$24,0))</f>
        <v>12.845454545454546</v>
      </c>
      <c r="R104" s="163">
        <f t="shared" si="8"/>
        <v>5.8997031818181824</v>
      </c>
      <c r="S104" s="163">
        <f t="shared" si="9"/>
        <v>5.8997031818181824</v>
      </c>
      <c r="T104" s="122">
        <f>K104*F104*'Sac Parametreleri'!$B$6*G104</f>
        <v>4.5239549999999999</v>
      </c>
      <c r="U104" s="122">
        <f>N104*F104*'Sac Parametreleri'!$B$6*G104</f>
        <v>4.8242174999999996</v>
      </c>
      <c r="V104" s="122">
        <f>M104*F104*'Sac Parametreleri'!$B$6*G104</f>
        <v>9.3481724999999987</v>
      </c>
      <c r="W104" s="118" t="s">
        <v>85</v>
      </c>
    </row>
    <row r="105" spans="1:23" ht="15" customHeight="1" x14ac:dyDescent="0.25">
      <c r="A105" s="118" t="s">
        <v>536</v>
      </c>
      <c r="B105" s="118">
        <v>2</v>
      </c>
      <c r="C105" s="118" t="s">
        <v>1623</v>
      </c>
      <c r="D105" s="118" t="s">
        <v>700</v>
      </c>
      <c r="E105" s="118" t="s">
        <v>1552</v>
      </c>
      <c r="F105" s="118">
        <v>20</v>
      </c>
      <c r="G105" s="118">
        <v>1</v>
      </c>
      <c r="H105" s="118" t="s">
        <v>1551</v>
      </c>
      <c r="I105" s="159">
        <v>700.5</v>
      </c>
      <c r="J105" s="159">
        <v>340</v>
      </c>
      <c r="K105" s="160">
        <v>9.1717000000000007E-2</v>
      </c>
      <c r="L105" s="160">
        <v>7.85E-4</v>
      </c>
      <c r="M105" s="161">
        <f t="shared" si="5"/>
        <v>0.23816999999999999</v>
      </c>
      <c r="N105" s="161">
        <f t="shared" si="6"/>
        <v>0.146453</v>
      </c>
      <c r="O105" s="121">
        <f t="shared" si="7"/>
        <v>0.61490951841121888</v>
      </c>
      <c r="P105" s="162">
        <f>IF(E105="Hardox 450",INDEX('Sac Parametreleri'!$G$11:$G$24,MATCH(F105,'Sac Parametreleri'!$A$11:$A$24,0)),INDEX('Sac Parametreleri'!$E$11:$E$24,MATCH(F105,'Sac Parametreleri'!$A$11:$A$24,0)))</f>
        <v>125.60000000000001</v>
      </c>
      <c r="Q105" s="162">
        <f>INDEX('Sac Parametreleri'!$F$11:$F$24,MATCH(F105,'Sac Parametreleri'!$A$11:$A$24,0))</f>
        <v>51.381818181818183</v>
      </c>
      <c r="R105" s="163">
        <f t="shared" si="8"/>
        <v>22.389130581818183</v>
      </c>
      <c r="S105" s="163">
        <f t="shared" si="9"/>
        <v>22.389130581818183</v>
      </c>
      <c r="T105" s="122">
        <f>K105*F105*'Sac Parametreleri'!$B$6*G105</f>
        <v>14.399569</v>
      </c>
      <c r="U105" s="122">
        <f>N105*F105*'Sac Parametreleri'!$B$6*G105</f>
        <v>22.993120999999999</v>
      </c>
      <c r="V105" s="122">
        <f>M105*F105*'Sac Parametreleri'!$B$6*G105</f>
        <v>37.392689999999995</v>
      </c>
      <c r="W105" s="118" t="s">
        <v>85</v>
      </c>
    </row>
    <row r="106" spans="1:23" ht="15" customHeight="1" x14ac:dyDescent="0.25">
      <c r="A106" s="118" t="s">
        <v>477</v>
      </c>
      <c r="B106" s="118">
        <v>1</v>
      </c>
      <c r="C106" s="118" t="s">
        <v>952</v>
      </c>
      <c r="D106" s="118" t="s">
        <v>953</v>
      </c>
      <c r="E106" s="118" t="s">
        <v>1552</v>
      </c>
      <c r="F106" s="118">
        <v>8</v>
      </c>
      <c r="G106" s="118">
        <v>1</v>
      </c>
      <c r="H106" s="118" t="s">
        <v>1560</v>
      </c>
      <c r="I106" s="159">
        <v>866</v>
      </c>
      <c r="J106" s="159">
        <v>411.7</v>
      </c>
      <c r="K106" s="160">
        <v>0.25323099999999998</v>
      </c>
      <c r="L106" s="160">
        <v>4.4559999999999999E-3</v>
      </c>
      <c r="M106" s="161">
        <f t="shared" si="5"/>
        <v>0.35653220000000002</v>
      </c>
      <c r="N106" s="161">
        <f t="shared" si="6"/>
        <v>0.10330120000000004</v>
      </c>
      <c r="O106" s="121">
        <f t="shared" si="7"/>
        <v>0.28973876693325323</v>
      </c>
      <c r="P106" s="162">
        <f>IF(E106="Hardox 450",INDEX('Sac Parametreleri'!$G$11:$G$24,MATCH(F106,'Sac Parametreleri'!$A$11:$A$24,0)),INDEX('Sac Parametreleri'!$E$11:$E$24,MATCH(F106,'Sac Parametreleri'!$A$11:$A$24,0)))</f>
        <v>50.24</v>
      </c>
      <c r="Q106" s="162">
        <f>INDEX('Sac Parametreleri'!$F$11:$F$24,MATCH(F106,'Sac Parametreleri'!$A$11:$A$24,0))</f>
        <v>20.552727272727271</v>
      </c>
      <c r="R106" s="163">
        <f t="shared" si="8"/>
        <v>15.789056337454548</v>
      </c>
      <c r="S106" s="163">
        <f t="shared" si="9"/>
        <v>15.789056337454548</v>
      </c>
      <c r="T106" s="122">
        <f>K106*F106*'Sac Parametreleri'!$B$6*G106</f>
        <v>15.902906799999998</v>
      </c>
      <c r="U106" s="122">
        <f>N106*F106*'Sac Parametreleri'!$B$6*G106</f>
        <v>6.487315360000002</v>
      </c>
      <c r="V106" s="122">
        <f>M106*F106*'Sac Parametreleri'!$B$6*G106</f>
        <v>22.39022216</v>
      </c>
      <c r="W106" s="118" t="s">
        <v>85</v>
      </c>
    </row>
    <row r="107" spans="1:23" ht="15" customHeight="1" x14ac:dyDescent="0.25">
      <c r="A107" s="118" t="s">
        <v>477</v>
      </c>
      <c r="B107" s="118">
        <v>2</v>
      </c>
      <c r="C107" s="118" t="s">
        <v>1624</v>
      </c>
      <c r="D107" s="118" t="s">
        <v>1625</v>
      </c>
      <c r="E107" s="118" t="s">
        <v>1552</v>
      </c>
      <c r="F107" s="118">
        <v>10</v>
      </c>
      <c r="G107" s="118">
        <v>2</v>
      </c>
      <c r="H107" s="118" t="s">
        <v>1551</v>
      </c>
      <c r="I107" s="159">
        <v>121</v>
      </c>
      <c r="J107" s="159">
        <v>50</v>
      </c>
      <c r="K107" s="160">
        <v>6.0499999999999998E-3</v>
      </c>
      <c r="L107" s="160">
        <v>0</v>
      </c>
      <c r="M107" s="161">
        <f t="shared" si="5"/>
        <v>6.0499999999999998E-3</v>
      </c>
      <c r="N107" s="161">
        <f t="shared" si="6"/>
        <v>0</v>
      </c>
      <c r="O107" s="121">
        <f t="shared" si="7"/>
        <v>0</v>
      </c>
      <c r="P107" s="162">
        <f>IF(E107="Hardox 450",INDEX('Sac Parametreleri'!$G$11:$G$24,MATCH(F107,'Sac Parametreleri'!$A$11:$A$24,0)),INDEX('Sac Parametreleri'!$E$11:$E$24,MATCH(F107,'Sac Parametreleri'!$A$11:$A$24,0)))</f>
        <v>62.800000000000004</v>
      </c>
      <c r="Q107" s="162">
        <f>INDEX('Sac Parametreleri'!$F$11:$F$24,MATCH(F107,'Sac Parametreleri'!$A$11:$A$24,0))</f>
        <v>25.690909090909091</v>
      </c>
      <c r="R107" s="163">
        <f t="shared" si="8"/>
        <v>0.37994</v>
      </c>
      <c r="S107" s="163">
        <f t="shared" si="9"/>
        <v>0.75988</v>
      </c>
      <c r="T107" s="122">
        <f>K107*F107*'Sac Parametreleri'!$B$6*G107</f>
        <v>0.94984999999999997</v>
      </c>
      <c r="U107" s="122">
        <f>N107*F107*'Sac Parametreleri'!$B$6*G107</f>
        <v>0</v>
      </c>
      <c r="V107" s="122">
        <f>M107*F107*'Sac Parametreleri'!$B$6*G107</f>
        <v>0.94984999999999997</v>
      </c>
      <c r="W107" s="118" t="s">
        <v>85</v>
      </c>
    </row>
    <row r="108" spans="1:23" ht="15" customHeight="1" x14ac:dyDescent="0.25">
      <c r="A108" s="118" t="s">
        <v>477</v>
      </c>
      <c r="B108" s="118">
        <v>3</v>
      </c>
      <c r="C108" s="118" t="s">
        <v>1626</v>
      </c>
      <c r="D108" s="118" t="s">
        <v>700</v>
      </c>
      <c r="E108" s="118" t="s">
        <v>1552</v>
      </c>
      <c r="F108" s="118">
        <v>8</v>
      </c>
      <c r="G108" s="118">
        <v>1</v>
      </c>
      <c r="H108" s="118" t="s">
        <v>1551</v>
      </c>
      <c r="I108" s="159">
        <v>148</v>
      </c>
      <c r="J108" s="159">
        <v>134</v>
      </c>
      <c r="K108" s="160">
        <v>1.54E-2</v>
      </c>
      <c r="L108" s="160">
        <v>2.2030000000000001E-3</v>
      </c>
      <c r="M108" s="161">
        <f t="shared" si="5"/>
        <v>1.9831999999999999E-2</v>
      </c>
      <c r="N108" s="161">
        <f t="shared" si="6"/>
        <v>4.4319999999999984E-3</v>
      </c>
      <c r="O108" s="121">
        <f t="shared" si="7"/>
        <v>0.22347720855183534</v>
      </c>
      <c r="P108" s="162">
        <f>IF(E108="Hardox 450",INDEX('Sac Parametreleri'!$G$11:$G$24,MATCH(F108,'Sac Parametreleri'!$A$11:$A$24,0)),INDEX('Sac Parametreleri'!$E$11:$E$24,MATCH(F108,'Sac Parametreleri'!$A$11:$A$24,0)))</f>
        <v>50.24</v>
      </c>
      <c r="Q108" s="162">
        <f>INDEX('Sac Parametreleri'!$F$11:$F$24,MATCH(F108,'Sac Parametreleri'!$A$11:$A$24,0))</f>
        <v>20.552727272727271</v>
      </c>
      <c r="R108" s="163">
        <f t="shared" si="8"/>
        <v>0.90526999272727271</v>
      </c>
      <c r="S108" s="163">
        <f t="shared" si="9"/>
        <v>0.90526999272727271</v>
      </c>
      <c r="T108" s="122">
        <f>K108*F108*'Sac Parametreleri'!$B$6*G108</f>
        <v>0.96711999999999998</v>
      </c>
      <c r="U108" s="122">
        <f>N108*F108*'Sac Parametreleri'!$B$6*G108</f>
        <v>0.2783295999999999</v>
      </c>
      <c r="V108" s="122">
        <f>M108*F108*'Sac Parametreleri'!$B$6*G108</f>
        <v>1.2454495999999999</v>
      </c>
      <c r="W108" s="118" t="s">
        <v>85</v>
      </c>
    </row>
    <row r="109" spans="1:23" ht="15" customHeight="1" x14ac:dyDescent="0.25">
      <c r="A109" s="118" t="s">
        <v>477</v>
      </c>
      <c r="B109" s="118">
        <v>4</v>
      </c>
      <c r="C109" s="118" t="s">
        <v>1627</v>
      </c>
      <c r="D109" s="118" t="s">
        <v>700</v>
      </c>
      <c r="E109" s="118" t="s">
        <v>1552</v>
      </c>
      <c r="F109" s="118">
        <v>8</v>
      </c>
      <c r="G109" s="118">
        <v>1</v>
      </c>
      <c r="H109" s="118" t="s">
        <v>1551</v>
      </c>
      <c r="I109" s="159">
        <v>148</v>
      </c>
      <c r="J109" s="159">
        <v>134</v>
      </c>
      <c r="K109" s="160">
        <v>1.5396999999999999E-2</v>
      </c>
      <c r="L109" s="160">
        <v>2.2060000000000001E-3</v>
      </c>
      <c r="M109" s="161">
        <f t="shared" si="5"/>
        <v>1.9831999999999999E-2</v>
      </c>
      <c r="N109" s="161">
        <f t="shared" si="6"/>
        <v>4.4349999999999997E-3</v>
      </c>
      <c r="O109" s="121">
        <f t="shared" si="7"/>
        <v>0.22362847922549414</v>
      </c>
      <c r="P109" s="162">
        <f>IF(E109="Hardox 450",INDEX('Sac Parametreleri'!$G$11:$G$24,MATCH(F109,'Sac Parametreleri'!$A$11:$A$24,0)),INDEX('Sac Parametreleri'!$E$11:$E$24,MATCH(F109,'Sac Parametreleri'!$A$11:$A$24,0)))</f>
        <v>50.24</v>
      </c>
      <c r="Q109" s="162">
        <f>INDEX('Sac Parametreleri'!$F$11:$F$24,MATCH(F109,'Sac Parametreleri'!$A$11:$A$24,0))</f>
        <v>20.552727272727271</v>
      </c>
      <c r="R109" s="163">
        <f t="shared" si="8"/>
        <v>0.90520833454545457</v>
      </c>
      <c r="S109" s="163">
        <f t="shared" si="9"/>
        <v>0.90520833454545457</v>
      </c>
      <c r="T109" s="122">
        <f>K109*F109*'Sac Parametreleri'!$B$6*G109</f>
        <v>0.96693159999999989</v>
      </c>
      <c r="U109" s="122">
        <f>N109*F109*'Sac Parametreleri'!$B$6*G109</f>
        <v>0.27851799999999999</v>
      </c>
      <c r="V109" s="122">
        <f>M109*F109*'Sac Parametreleri'!$B$6*G109</f>
        <v>1.2454495999999999</v>
      </c>
      <c r="W109" s="118" t="s">
        <v>85</v>
      </c>
    </row>
    <row r="110" spans="1:23" ht="15" customHeight="1" x14ac:dyDescent="0.25">
      <c r="A110" s="118" t="s">
        <v>593</v>
      </c>
      <c r="B110" s="118">
        <v>1</v>
      </c>
      <c r="C110" s="118" t="s">
        <v>1011</v>
      </c>
      <c r="D110" s="118" t="s">
        <v>1012</v>
      </c>
      <c r="E110" s="118" t="s">
        <v>1552</v>
      </c>
      <c r="F110" s="118">
        <v>4</v>
      </c>
      <c r="G110" s="118">
        <v>1</v>
      </c>
      <c r="H110" s="118" t="s">
        <v>1628</v>
      </c>
      <c r="I110" s="159">
        <v>1385.7</v>
      </c>
      <c r="J110" s="159">
        <v>1040.7</v>
      </c>
      <c r="K110" s="160">
        <v>0.57787699999999997</v>
      </c>
      <c r="L110" s="160">
        <v>0.58427899999999999</v>
      </c>
      <c r="M110" s="161">
        <f t="shared" si="5"/>
        <v>1.4420979900000002</v>
      </c>
      <c r="N110" s="161">
        <f t="shared" si="6"/>
        <v>0.86422099000000019</v>
      </c>
      <c r="O110" s="121">
        <f t="shared" si="7"/>
        <v>0.59928035126101253</v>
      </c>
      <c r="P110" s="162">
        <f>IF(E110="Hardox 450",INDEX('Sac Parametreleri'!$G$11:$G$24,MATCH(F110,'Sac Parametreleri'!$A$11:$A$24,0)),INDEX('Sac Parametreleri'!$E$11:$E$24,MATCH(F110,'Sac Parametreleri'!$A$11:$A$24,0)))</f>
        <v>25.12</v>
      </c>
      <c r="Q110" s="162">
        <f>INDEX('Sac Parametreleri'!$F$11:$F$24,MATCH(F110,'Sac Parametreleri'!$A$11:$A$24,0))</f>
        <v>10.276363636363635</v>
      </c>
      <c r="R110" s="163">
        <f t="shared" si="8"/>
        <v>27.344452353381826</v>
      </c>
      <c r="S110" s="163">
        <f t="shared" si="9"/>
        <v>27.344452353381826</v>
      </c>
      <c r="T110" s="122">
        <f>K110*F110*'Sac Parametreleri'!$B$6*G110</f>
        <v>18.1453378</v>
      </c>
      <c r="U110" s="122">
        <f>N110*F110*'Sac Parametreleri'!$B$6*G110</f>
        <v>27.136539086000006</v>
      </c>
      <c r="V110" s="122">
        <f>M110*F110*'Sac Parametreleri'!$B$6*G110</f>
        <v>45.281876886000006</v>
      </c>
      <c r="W110" s="118" t="s">
        <v>85</v>
      </c>
    </row>
    <row r="111" spans="1:23" ht="15" customHeight="1" x14ac:dyDescent="0.25">
      <c r="A111" s="118" t="s">
        <v>593</v>
      </c>
      <c r="B111" s="118">
        <v>2</v>
      </c>
      <c r="C111" s="118" t="s">
        <v>1629</v>
      </c>
      <c r="D111" s="118" t="s">
        <v>1630</v>
      </c>
      <c r="E111" s="118" t="s">
        <v>1552</v>
      </c>
      <c r="F111" s="118">
        <v>4</v>
      </c>
      <c r="G111" s="118">
        <v>4</v>
      </c>
      <c r="H111" s="118" t="s">
        <v>1551</v>
      </c>
      <c r="I111" s="159">
        <v>115</v>
      </c>
      <c r="J111" s="159">
        <v>46</v>
      </c>
      <c r="K111" s="160">
        <v>5.1970000000000002E-3</v>
      </c>
      <c r="L111" s="160">
        <v>9.3999999999999994E-5</v>
      </c>
      <c r="M111" s="161">
        <f t="shared" si="5"/>
        <v>5.2900000000000004E-3</v>
      </c>
      <c r="N111" s="161">
        <f t="shared" si="6"/>
        <v>9.3000000000000201E-5</v>
      </c>
      <c r="O111" s="121">
        <f t="shared" si="7"/>
        <v>1.7580340264650319E-2</v>
      </c>
      <c r="P111" s="162">
        <f>IF(E111="Hardox 450",INDEX('Sac Parametreleri'!$G$11:$G$24,MATCH(F111,'Sac Parametreleri'!$A$11:$A$24,0)),INDEX('Sac Parametreleri'!$E$11:$E$24,MATCH(F111,'Sac Parametreleri'!$A$11:$A$24,0)))</f>
        <v>25.12</v>
      </c>
      <c r="Q111" s="162">
        <f>INDEX('Sac Parametreleri'!$F$11:$F$24,MATCH(F111,'Sac Parametreleri'!$A$11:$A$24,0))</f>
        <v>10.276363636363635</v>
      </c>
      <c r="R111" s="163">
        <f t="shared" si="8"/>
        <v>0.13192909818181819</v>
      </c>
      <c r="S111" s="163">
        <f t="shared" si="9"/>
        <v>0.52771639272727278</v>
      </c>
      <c r="T111" s="122">
        <f>K111*F111*'Sac Parametreleri'!$B$6*G111</f>
        <v>0.65274319999999997</v>
      </c>
      <c r="U111" s="122">
        <f>N111*F111*'Sac Parametreleri'!$B$6*G111</f>
        <v>1.1680800000000024E-2</v>
      </c>
      <c r="V111" s="122">
        <f>M111*F111*'Sac Parametreleri'!$B$6*G111</f>
        <v>0.66442400000000001</v>
      </c>
      <c r="W111" s="118" t="s">
        <v>85</v>
      </c>
    </row>
    <row r="112" spans="1:23" ht="15" customHeight="1" x14ac:dyDescent="0.25">
      <c r="A112" s="118" t="s">
        <v>453</v>
      </c>
      <c r="B112" s="118">
        <v>1</v>
      </c>
      <c r="C112" s="118" t="s">
        <v>936</v>
      </c>
      <c r="D112" s="118" t="s">
        <v>937</v>
      </c>
      <c r="E112" s="118" t="s">
        <v>1552</v>
      </c>
      <c r="F112" s="118">
        <v>3</v>
      </c>
      <c r="G112" s="118">
        <v>1</v>
      </c>
      <c r="H112" s="118" t="s">
        <v>1553</v>
      </c>
      <c r="I112" s="159">
        <v>747.9</v>
      </c>
      <c r="J112" s="159">
        <v>642</v>
      </c>
      <c r="K112" s="160">
        <v>0.24940599999999999</v>
      </c>
      <c r="L112" s="160">
        <v>0.17956900000000001</v>
      </c>
      <c r="M112" s="161">
        <f t="shared" si="5"/>
        <v>0.48015179999999996</v>
      </c>
      <c r="N112" s="161">
        <f t="shared" si="6"/>
        <v>0.23074579999999997</v>
      </c>
      <c r="O112" s="121">
        <f t="shared" si="7"/>
        <v>0.48056843689849749</v>
      </c>
      <c r="P112" s="162">
        <f>IF(E112="Hardox 450",INDEX('Sac Parametreleri'!$G$11:$G$24,MATCH(F112,'Sac Parametreleri'!$A$11:$A$24,0)),INDEX('Sac Parametreleri'!$E$11:$E$24,MATCH(F112,'Sac Parametreleri'!$A$11:$A$24,0)))</f>
        <v>18.84</v>
      </c>
      <c r="Q112" s="162">
        <f>INDEX('Sac Parametreleri'!$F$11:$F$24,MATCH(F112,'Sac Parametreleri'!$A$11:$A$24,0))</f>
        <v>7.7072727272727262</v>
      </c>
      <c r="R112" s="163">
        <f t="shared" si="8"/>
        <v>7.2676391007272718</v>
      </c>
      <c r="S112" s="163">
        <f t="shared" si="9"/>
        <v>7.2676391007272718</v>
      </c>
      <c r="T112" s="122">
        <f>K112*F112*'Sac Parametreleri'!$B$6*G112</f>
        <v>5.8735112999999997</v>
      </c>
      <c r="U112" s="122">
        <f>N112*F112*'Sac Parametreleri'!$B$6*G112</f>
        <v>5.4340635899999992</v>
      </c>
      <c r="V112" s="122">
        <f>M112*F112*'Sac Parametreleri'!$B$6*G112</f>
        <v>11.307574889999998</v>
      </c>
      <c r="W112" s="118" t="s">
        <v>85</v>
      </c>
    </row>
    <row r="113" spans="1:23" ht="15" customHeight="1" x14ac:dyDescent="0.25">
      <c r="A113" s="118" t="s">
        <v>453</v>
      </c>
      <c r="B113" s="118">
        <v>2</v>
      </c>
      <c r="C113" s="118" t="s">
        <v>938</v>
      </c>
      <c r="D113" s="118" t="s">
        <v>939</v>
      </c>
      <c r="E113" s="118" t="s">
        <v>1552</v>
      </c>
      <c r="F113" s="118">
        <v>3</v>
      </c>
      <c r="G113" s="118">
        <v>1</v>
      </c>
      <c r="H113" s="118" t="s">
        <v>1553</v>
      </c>
      <c r="I113" s="159">
        <v>747.9</v>
      </c>
      <c r="J113" s="159">
        <v>642</v>
      </c>
      <c r="K113" s="160">
        <v>0.24946299999999999</v>
      </c>
      <c r="L113" s="160">
        <v>0.179594</v>
      </c>
      <c r="M113" s="161">
        <f t="shared" si="5"/>
        <v>0.48015179999999996</v>
      </c>
      <c r="N113" s="161">
        <f t="shared" si="6"/>
        <v>0.23068879999999997</v>
      </c>
      <c r="O113" s="121">
        <f t="shared" si="7"/>
        <v>0.48044972444131206</v>
      </c>
      <c r="P113" s="162">
        <f>IF(E113="Hardox 450",INDEX('Sac Parametreleri'!$G$11:$G$24,MATCH(F113,'Sac Parametreleri'!$A$11:$A$24,0)),INDEX('Sac Parametreleri'!$E$11:$E$24,MATCH(F113,'Sac Parametreleri'!$A$11:$A$24,0)))</f>
        <v>18.84</v>
      </c>
      <c r="Q113" s="162">
        <f>INDEX('Sac Parametreleri'!$F$11:$F$24,MATCH(F113,'Sac Parametreleri'!$A$11:$A$24,0))</f>
        <v>7.7072727272727262</v>
      </c>
      <c r="R113" s="163">
        <f t="shared" si="8"/>
        <v>7.2680784152727265</v>
      </c>
      <c r="S113" s="163">
        <f t="shared" si="9"/>
        <v>7.2680784152727265</v>
      </c>
      <c r="T113" s="122">
        <f>K113*F113*'Sac Parametreleri'!$B$6*G113</f>
        <v>5.8748536499999995</v>
      </c>
      <c r="U113" s="122">
        <f>N113*F113*'Sac Parametreleri'!$B$6*G113</f>
        <v>5.4327212399999985</v>
      </c>
      <c r="V113" s="122">
        <f>M113*F113*'Sac Parametreleri'!$B$6*G113</f>
        <v>11.307574889999998</v>
      </c>
      <c r="W113" s="118" t="s">
        <v>85</v>
      </c>
    </row>
    <row r="114" spans="1:23" ht="15" customHeight="1" x14ac:dyDescent="0.25">
      <c r="A114" s="118" t="s">
        <v>453</v>
      </c>
      <c r="B114" s="118">
        <v>3</v>
      </c>
      <c r="C114" s="118" t="s">
        <v>1631</v>
      </c>
      <c r="D114" s="118" t="s">
        <v>1632</v>
      </c>
      <c r="E114" s="118" t="s">
        <v>1552</v>
      </c>
      <c r="F114" s="118">
        <v>5</v>
      </c>
      <c r="G114" s="118">
        <v>1</v>
      </c>
      <c r="H114" s="118" t="s">
        <v>1551</v>
      </c>
      <c r="I114" s="159">
        <v>420</v>
      </c>
      <c r="J114" s="159">
        <v>216</v>
      </c>
      <c r="K114" s="160">
        <v>7.2077000000000002E-2</v>
      </c>
      <c r="L114" s="160">
        <v>1.8592999999999998E-2</v>
      </c>
      <c r="M114" s="161">
        <f t="shared" si="5"/>
        <v>9.0719999999999995E-2</v>
      </c>
      <c r="N114" s="161">
        <f t="shared" si="6"/>
        <v>1.8642999999999993E-2</v>
      </c>
      <c r="O114" s="121">
        <f t="shared" si="7"/>
        <v>0.20550044091710751</v>
      </c>
      <c r="P114" s="162">
        <f>IF(E114="Hardox 450",INDEX('Sac Parametreleri'!$G$11:$G$24,MATCH(F114,'Sac Parametreleri'!$A$11:$A$24,0)),INDEX('Sac Parametreleri'!$E$11:$E$24,MATCH(F114,'Sac Parametreleri'!$A$11:$A$24,0)))</f>
        <v>31.400000000000002</v>
      </c>
      <c r="Q114" s="162">
        <f>INDEX('Sac Parametreleri'!$F$11:$F$24,MATCH(F114,'Sac Parametreleri'!$A$11:$A$24,0))</f>
        <v>12.845454545454546</v>
      </c>
      <c r="R114" s="163">
        <f t="shared" si="8"/>
        <v>2.6091301909090912</v>
      </c>
      <c r="S114" s="163">
        <f t="shared" si="9"/>
        <v>2.6091301909090912</v>
      </c>
      <c r="T114" s="122">
        <f>K114*F114*'Sac Parametreleri'!$B$6*G114</f>
        <v>2.82902225</v>
      </c>
      <c r="U114" s="122">
        <f>N114*F114*'Sac Parametreleri'!$B$6*G114</f>
        <v>0.73173774999999974</v>
      </c>
      <c r="V114" s="122">
        <f>M114*F114*'Sac Parametreleri'!$B$6*G114</f>
        <v>3.5607599999999997</v>
      </c>
      <c r="W114" s="118" t="s">
        <v>85</v>
      </c>
    </row>
    <row r="115" spans="1:23" ht="15" customHeight="1" x14ac:dyDescent="0.25">
      <c r="A115" s="118" t="s">
        <v>453</v>
      </c>
      <c r="B115" s="118">
        <v>4</v>
      </c>
      <c r="C115" s="118" t="s">
        <v>1633</v>
      </c>
      <c r="D115" s="118" t="s">
        <v>1634</v>
      </c>
      <c r="E115" s="118" t="s">
        <v>1552</v>
      </c>
      <c r="F115" s="118">
        <v>5</v>
      </c>
      <c r="G115" s="118">
        <v>1</v>
      </c>
      <c r="H115" s="118" t="s">
        <v>1551</v>
      </c>
      <c r="I115" s="159">
        <v>500</v>
      </c>
      <c r="J115" s="159">
        <v>216</v>
      </c>
      <c r="K115" s="160">
        <v>9.3937000000000007E-2</v>
      </c>
      <c r="L115" s="160">
        <v>1.0248999999999999E-2</v>
      </c>
      <c r="M115" s="161">
        <f t="shared" si="5"/>
        <v>0.108</v>
      </c>
      <c r="N115" s="161">
        <f t="shared" si="6"/>
        <v>1.4062999999999992E-2</v>
      </c>
      <c r="O115" s="121">
        <f t="shared" si="7"/>
        <v>0.13021296296296289</v>
      </c>
      <c r="P115" s="162">
        <f>IF(E115="Hardox 450",INDEX('Sac Parametreleri'!$G$11:$G$24,MATCH(F115,'Sac Parametreleri'!$A$11:$A$24,0)),INDEX('Sac Parametreleri'!$E$11:$E$24,MATCH(F115,'Sac Parametreleri'!$A$11:$A$24,0)))</f>
        <v>31.400000000000002</v>
      </c>
      <c r="Q115" s="162">
        <f>INDEX('Sac Parametreleri'!$F$11:$F$24,MATCH(F115,'Sac Parametreleri'!$A$11:$A$24,0))</f>
        <v>12.845454545454546</v>
      </c>
      <c r="R115" s="163">
        <f t="shared" si="8"/>
        <v>3.2105543727272727</v>
      </c>
      <c r="S115" s="163">
        <f t="shared" si="9"/>
        <v>3.2105543727272727</v>
      </c>
      <c r="T115" s="122">
        <f>K115*F115*'Sac Parametreleri'!$B$6*G115</f>
        <v>3.6870272499999999</v>
      </c>
      <c r="U115" s="122">
        <f>N115*F115*'Sac Parametreleri'!$B$6*G115</f>
        <v>0.55197274999999968</v>
      </c>
      <c r="V115" s="122">
        <f>M115*F115*'Sac Parametreleri'!$B$6*G115</f>
        <v>4.2389999999999999</v>
      </c>
      <c r="W115" s="118" t="s">
        <v>85</v>
      </c>
    </row>
    <row r="116" spans="1:23" ht="15" customHeight="1" x14ac:dyDescent="0.25">
      <c r="A116" s="118" t="s">
        <v>453</v>
      </c>
      <c r="B116" s="118">
        <v>5</v>
      </c>
      <c r="C116" s="118" t="s">
        <v>940</v>
      </c>
      <c r="D116" s="118" t="s">
        <v>941</v>
      </c>
      <c r="E116" s="118" t="s">
        <v>1552</v>
      </c>
      <c r="F116" s="118">
        <v>3</v>
      </c>
      <c r="G116" s="118">
        <v>2</v>
      </c>
      <c r="H116" s="118" t="s">
        <v>1560</v>
      </c>
      <c r="I116" s="159">
        <v>264.2</v>
      </c>
      <c r="J116" s="159">
        <v>30</v>
      </c>
      <c r="K116" s="160">
        <v>7.894E-3</v>
      </c>
      <c r="L116" s="160">
        <v>0</v>
      </c>
      <c r="M116" s="161">
        <f t="shared" si="5"/>
        <v>7.9260000000000008E-3</v>
      </c>
      <c r="N116" s="161">
        <f t="shared" si="6"/>
        <v>3.2000000000000778E-5</v>
      </c>
      <c r="O116" s="121">
        <f t="shared" si="7"/>
        <v>4.0373454453697675E-3</v>
      </c>
      <c r="P116" s="162">
        <f>IF(E116="Hardox 450",INDEX('Sac Parametreleri'!$G$11:$G$24,MATCH(F116,'Sac Parametreleri'!$A$11:$A$24,0)),INDEX('Sac Parametreleri'!$E$11:$E$24,MATCH(F116,'Sac Parametreleri'!$A$11:$A$24,0)))</f>
        <v>18.84</v>
      </c>
      <c r="Q116" s="162">
        <f>INDEX('Sac Parametreleri'!$F$11:$F$24,MATCH(F116,'Sac Parametreleri'!$A$11:$A$24,0))</f>
        <v>7.7072727272727262</v>
      </c>
      <c r="R116" s="163">
        <f t="shared" si="8"/>
        <v>0.14907920727272728</v>
      </c>
      <c r="S116" s="163">
        <f t="shared" si="9"/>
        <v>0.29815841454545455</v>
      </c>
      <c r="T116" s="122">
        <f>K116*F116*'Sac Parametreleri'!$B$6*G116</f>
        <v>0.37180740000000001</v>
      </c>
      <c r="U116" s="122">
        <f>N116*F116*'Sac Parametreleri'!$B$6*G116</f>
        <v>1.5072000000000366E-3</v>
      </c>
      <c r="V116" s="122">
        <f>M116*F116*'Sac Parametreleri'!$B$6*G116</f>
        <v>0.3733146</v>
      </c>
      <c r="W116" s="118" t="s">
        <v>85</v>
      </c>
    </row>
    <row r="117" spans="1:23" ht="15" customHeight="1" x14ac:dyDescent="0.25">
      <c r="A117" s="118" t="s">
        <v>496</v>
      </c>
      <c r="B117" s="118">
        <v>1</v>
      </c>
      <c r="C117" s="118" t="s">
        <v>968</v>
      </c>
      <c r="D117" s="118" t="s">
        <v>953</v>
      </c>
      <c r="E117" s="118" t="s">
        <v>1552</v>
      </c>
      <c r="F117" s="118">
        <v>8</v>
      </c>
      <c r="G117" s="118">
        <v>1</v>
      </c>
      <c r="H117" s="118" t="s">
        <v>1560</v>
      </c>
      <c r="I117" s="159">
        <v>846</v>
      </c>
      <c r="J117" s="159">
        <v>411.7</v>
      </c>
      <c r="K117" s="160">
        <v>0.24526300000000001</v>
      </c>
      <c r="L117" s="160">
        <v>4.1920000000000004E-3</v>
      </c>
      <c r="M117" s="161">
        <f t="shared" si="5"/>
        <v>0.3482982</v>
      </c>
      <c r="N117" s="161">
        <f t="shared" si="6"/>
        <v>0.10303519999999999</v>
      </c>
      <c r="O117" s="121">
        <f t="shared" si="7"/>
        <v>0.2958246697800907</v>
      </c>
      <c r="P117" s="162">
        <f>IF(E117="Hardox 450",INDEX('Sac Parametreleri'!$G$11:$G$24,MATCH(F117,'Sac Parametreleri'!$A$11:$A$24,0)),INDEX('Sac Parametreleri'!$E$11:$E$24,MATCH(F117,'Sac Parametreleri'!$A$11:$A$24,0)))</f>
        <v>50.24</v>
      </c>
      <c r="Q117" s="162">
        <f>INDEX('Sac Parametreleri'!$F$11:$F$24,MATCH(F117,'Sac Parametreleri'!$A$11:$A$24,0))</f>
        <v>20.552727272727271</v>
      </c>
      <c r="R117" s="163">
        <f t="shared" si="8"/>
        <v>15.380847202909093</v>
      </c>
      <c r="S117" s="163">
        <f t="shared" si="9"/>
        <v>15.380847202909093</v>
      </c>
      <c r="T117" s="122">
        <f>K117*F117*'Sac Parametreleri'!$B$6*G117</f>
        <v>15.4025164</v>
      </c>
      <c r="U117" s="122">
        <f>N117*F117*'Sac Parametreleri'!$B$6*G117</f>
        <v>6.470610559999999</v>
      </c>
      <c r="V117" s="122">
        <f>M117*F117*'Sac Parametreleri'!$B$6*G117</f>
        <v>21.87312696</v>
      </c>
      <c r="W117" s="118" t="s">
        <v>85</v>
      </c>
    </row>
    <row r="118" spans="1:23" ht="15" customHeight="1" x14ac:dyDescent="0.25">
      <c r="A118" s="118" t="s">
        <v>496</v>
      </c>
      <c r="B118" s="118">
        <v>2</v>
      </c>
      <c r="C118" s="118" t="s">
        <v>1626</v>
      </c>
      <c r="D118" s="118" t="s">
        <v>700</v>
      </c>
      <c r="E118" s="118" t="s">
        <v>1552</v>
      </c>
      <c r="F118" s="118">
        <v>8</v>
      </c>
      <c r="G118" s="118">
        <v>1</v>
      </c>
      <c r="H118" s="118" t="s">
        <v>1551</v>
      </c>
      <c r="I118" s="159">
        <v>148</v>
      </c>
      <c r="J118" s="159">
        <v>134</v>
      </c>
      <c r="K118" s="160">
        <v>1.54E-2</v>
      </c>
      <c r="L118" s="160">
        <v>2.2030000000000001E-3</v>
      </c>
      <c r="M118" s="161">
        <f t="shared" si="5"/>
        <v>1.9831999999999999E-2</v>
      </c>
      <c r="N118" s="161">
        <f t="shared" si="6"/>
        <v>4.4319999999999984E-3</v>
      </c>
      <c r="O118" s="121">
        <f t="shared" si="7"/>
        <v>0.22347720855183534</v>
      </c>
      <c r="P118" s="162">
        <f>IF(E118="Hardox 450",INDEX('Sac Parametreleri'!$G$11:$G$24,MATCH(F118,'Sac Parametreleri'!$A$11:$A$24,0)),INDEX('Sac Parametreleri'!$E$11:$E$24,MATCH(F118,'Sac Parametreleri'!$A$11:$A$24,0)))</f>
        <v>50.24</v>
      </c>
      <c r="Q118" s="162">
        <f>INDEX('Sac Parametreleri'!$F$11:$F$24,MATCH(F118,'Sac Parametreleri'!$A$11:$A$24,0))</f>
        <v>20.552727272727271</v>
      </c>
      <c r="R118" s="163">
        <f t="shared" si="8"/>
        <v>0.90526999272727271</v>
      </c>
      <c r="S118" s="163">
        <f t="shared" si="9"/>
        <v>0.90526999272727271</v>
      </c>
      <c r="T118" s="122">
        <f>K118*F118*'Sac Parametreleri'!$B$6*G118</f>
        <v>0.96711999999999998</v>
      </c>
      <c r="U118" s="122">
        <f>N118*F118*'Sac Parametreleri'!$B$6*G118</f>
        <v>0.2783295999999999</v>
      </c>
      <c r="V118" s="122">
        <f>M118*F118*'Sac Parametreleri'!$B$6*G118</f>
        <v>1.2454495999999999</v>
      </c>
      <c r="W118" s="118" t="s">
        <v>85</v>
      </c>
    </row>
    <row r="119" spans="1:23" ht="15" customHeight="1" x14ac:dyDescent="0.25">
      <c r="A119" s="118" t="s">
        <v>496</v>
      </c>
      <c r="B119" s="118">
        <v>3</v>
      </c>
      <c r="C119" s="118" t="s">
        <v>1627</v>
      </c>
      <c r="D119" s="118" t="s">
        <v>700</v>
      </c>
      <c r="E119" s="118" t="s">
        <v>1552</v>
      </c>
      <c r="F119" s="118">
        <v>8</v>
      </c>
      <c r="G119" s="118">
        <v>1</v>
      </c>
      <c r="H119" s="118" t="s">
        <v>1551</v>
      </c>
      <c r="I119" s="159">
        <v>148</v>
      </c>
      <c r="J119" s="159">
        <v>134</v>
      </c>
      <c r="K119" s="160">
        <v>1.5396999999999999E-2</v>
      </c>
      <c r="L119" s="160">
        <v>2.2070000000000002E-3</v>
      </c>
      <c r="M119" s="161">
        <f t="shared" si="5"/>
        <v>1.9831999999999999E-2</v>
      </c>
      <c r="N119" s="161">
        <f t="shared" si="6"/>
        <v>4.4349999999999997E-3</v>
      </c>
      <c r="O119" s="121">
        <f t="shared" si="7"/>
        <v>0.22362847922549414</v>
      </c>
      <c r="P119" s="162">
        <f>IF(E119="Hardox 450",INDEX('Sac Parametreleri'!$G$11:$G$24,MATCH(F119,'Sac Parametreleri'!$A$11:$A$24,0)),INDEX('Sac Parametreleri'!$E$11:$E$24,MATCH(F119,'Sac Parametreleri'!$A$11:$A$24,0)))</f>
        <v>50.24</v>
      </c>
      <c r="Q119" s="162">
        <f>INDEX('Sac Parametreleri'!$F$11:$F$24,MATCH(F119,'Sac Parametreleri'!$A$11:$A$24,0))</f>
        <v>20.552727272727271</v>
      </c>
      <c r="R119" s="163">
        <f t="shared" si="8"/>
        <v>0.90520833454545457</v>
      </c>
      <c r="S119" s="163">
        <f t="shared" si="9"/>
        <v>0.90520833454545457</v>
      </c>
      <c r="T119" s="122">
        <f>K119*F119*'Sac Parametreleri'!$B$6*G119</f>
        <v>0.96693159999999989</v>
      </c>
      <c r="U119" s="122">
        <f>N119*F119*'Sac Parametreleri'!$B$6*G119</f>
        <v>0.27851799999999999</v>
      </c>
      <c r="V119" s="122">
        <f>M119*F119*'Sac Parametreleri'!$B$6*G119</f>
        <v>1.2454495999999999</v>
      </c>
      <c r="W119" s="118" t="s">
        <v>85</v>
      </c>
    </row>
    <row r="120" spans="1:23" ht="15" customHeight="1" x14ac:dyDescent="0.25">
      <c r="A120" s="118" t="s">
        <v>496</v>
      </c>
      <c r="B120" s="118">
        <v>4</v>
      </c>
      <c r="C120" s="118" t="s">
        <v>1624</v>
      </c>
      <c r="D120" s="118" t="s">
        <v>1625</v>
      </c>
      <c r="E120" s="118" t="s">
        <v>1552</v>
      </c>
      <c r="F120" s="118">
        <v>10</v>
      </c>
      <c r="G120" s="118">
        <v>2</v>
      </c>
      <c r="H120" s="118" t="s">
        <v>1551</v>
      </c>
      <c r="I120" s="159">
        <v>121</v>
      </c>
      <c r="J120" s="159">
        <v>50</v>
      </c>
      <c r="K120" s="160">
        <v>6.0499999999999998E-3</v>
      </c>
      <c r="L120" s="160">
        <v>0</v>
      </c>
      <c r="M120" s="161">
        <f t="shared" si="5"/>
        <v>6.0499999999999998E-3</v>
      </c>
      <c r="N120" s="161">
        <f t="shared" si="6"/>
        <v>0</v>
      </c>
      <c r="O120" s="121">
        <f t="shared" si="7"/>
        <v>0</v>
      </c>
      <c r="P120" s="162">
        <f>IF(E120="Hardox 450",INDEX('Sac Parametreleri'!$G$11:$G$24,MATCH(F120,'Sac Parametreleri'!$A$11:$A$24,0)),INDEX('Sac Parametreleri'!$E$11:$E$24,MATCH(F120,'Sac Parametreleri'!$A$11:$A$24,0)))</f>
        <v>62.800000000000004</v>
      </c>
      <c r="Q120" s="162">
        <f>INDEX('Sac Parametreleri'!$F$11:$F$24,MATCH(F120,'Sac Parametreleri'!$A$11:$A$24,0))</f>
        <v>25.690909090909091</v>
      </c>
      <c r="R120" s="163">
        <f t="shared" si="8"/>
        <v>0.37994</v>
      </c>
      <c r="S120" s="163">
        <f t="shared" si="9"/>
        <v>0.75988</v>
      </c>
      <c r="T120" s="122">
        <f>K120*F120*'Sac Parametreleri'!$B$6*G120</f>
        <v>0.94984999999999997</v>
      </c>
      <c r="U120" s="122">
        <f>N120*F120*'Sac Parametreleri'!$B$6*G120</f>
        <v>0</v>
      </c>
      <c r="V120" s="122">
        <f>M120*F120*'Sac Parametreleri'!$B$6*G120</f>
        <v>0.94984999999999997</v>
      </c>
      <c r="W120" s="118" t="s">
        <v>85</v>
      </c>
    </row>
    <row r="121" spans="1:23" ht="15" customHeight="1" x14ac:dyDescent="0.25">
      <c r="A121" s="118" t="s">
        <v>445</v>
      </c>
      <c r="B121" s="118">
        <v>1</v>
      </c>
      <c r="C121" s="118" t="s">
        <v>969</v>
      </c>
      <c r="D121" s="118" t="s">
        <v>937</v>
      </c>
      <c r="E121" s="118" t="s">
        <v>1552</v>
      </c>
      <c r="F121" s="118">
        <v>3</v>
      </c>
      <c r="G121" s="118">
        <v>1</v>
      </c>
      <c r="H121" s="118" t="s">
        <v>1553</v>
      </c>
      <c r="I121" s="159">
        <v>739.9</v>
      </c>
      <c r="J121" s="159">
        <v>642</v>
      </c>
      <c r="K121" s="160">
        <v>0.24573700000000001</v>
      </c>
      <c r="L121" s="160">
        <v>0.17954700000000001</v>
      </c>
      <c r="M121" s="161">
        <f t="shared" si="5"/>
        <v>0.47501579999999999</v>
      </c>
      <c r="N121" s="161">
        <f t="shared" si="6"/>
        <v>0.22927879999999998</v>
      </c>
      <c r="O121" s="121">
        <f t="shared" si="7"/>
        <v>0.48267615519315354</v>
      </c>
      <c r="P121" s="162">
        <f>IF(E121="Hardox 450",INDEX('Sac Parametreleri'!$G$11:$G$24,MATCH(F121,'Sac Parametreleri'!$A$11:$A$24,0)),INDEX('Sac Parametreleri'!$E$11:$E$24,MATCH(F121,'Sac Parametreleri'!$A$11:$A$24,0)))</f>
        <v>18.84</v>
      </c>
      <c r="Q121" s="162">
        <f>INDEX('Sac Parametreleri'!$F$11:$F$24,MATCH(F121,'Sac Parametreleri'!$A$11:$A$24,0))</f>
        <v>7.7072727272727262</v>
      </c>
      <c r="R121" s="163">
        <f t="shared" si="8"/>
        <v>7.1821834298181821</v>
      </c>
      <c r="S121" s="163">
        <f t="shared" si="9"/>
        <v>7.1821834298181821</v>
      </c>
      <c r="T121" s="122">
        <f>K121*F121*'Sac Parametreleri'!$B$6*G121</f>
        <v>5.7871063500000002</v>
      </c>
      <c r="U121" s="122">
        <f>N121*F121*'Sac Parametreleri'!$B$6*G121</f>
        <v>5.3995157399999991</v>
      </c>
      <c r="V121" s="122">
        <f>M121*F121*'Sac Parametreleri'!$B$6*G121</f>
        <v>11.186622089999998</v>
      </c>
      <c r="W121" s="118" t="s">
        <v>85</v>
      </c>
    </row>
    <row r="122" spans="1:23" ht="15" customHeight="1" x14ac:dyDescent="0.25">
      <c r="A122" s="118" t="s">
        <v>445</v>
      </c>
      <c r="B122" s="118">
        <v>2</v>
      </c>
      <c r="C122" s="118" t="s">
        <v>970</v>
      </c>
      <c r="D122" s="118" t="s">
        <v>939</v>
      </c>
      <c r="E122" s="118" t="s">
        <v>1552</v>
      </c>
      <c r="F122" s="118">
        <v>3</v>
      </c>
      <c r="G122" s="118">
        <v>1</v>
      </c>
      <c r="H122" s="118" t="s">
        <v>1553</v>
      </c>
      <c r="I122" s="159">
        <v>739.9</v>
      </c>
      <c r="J122" s="159">
        <v>642</v>
      </c>
      <c r="K122" s="160">
        <v>0.245749</v>
      </c>
      <c r="L122" s="160">
        <v>0.17957999999999999</v>
      </c>
      <c r="M122" s="161">
        <f t="shared" si="5"/>
        <v>0.47501579999999999</v>
      </c>
      <c r="N122" s="161">
        <f t="shared" si="6"/>
        <v>0.22926679999999999</v>
      </c>
      <c r="O122" s="121">
        <f t="shared" si="7"/>
        <v>0.48265089287556329</v>
      </c>
      <c r="P122" s="162">
        <f>IF(E122="Hardox 450",INDEX('Sac Parametreleri'!$G$11:$G$24,MATCH(F122,'Sac Parametreleri'!$A$11:$A$24,0)),INDEX('Sac Parametreleri'!$E$11:$E$24,MATCH(F122,'Sac Parametreleri'!$A$11:$A$24,0)))</f>
        <v>18.84</v>
      </c>
      <c r="Q122" s="162">
        <f>INDEX('Sac Parametreleri'!$F$11:$F$24,MATCH(F122,'Sac Parametreleri'!$A$11:$A$24,0))</f>
        <v>7.7072727272727262</v>
      </c>
      <c r="R122" s="163">
        <f t="shared" si="8"/>
        <v>7.1822759170909096</v>
      </c>
      <c r="S122" s="163">
        <f t="shared" si="9"/>
        <v>7.1822759170909096</v>
      </c>
      <c r="T122" s="122">
        <f>K122*F122*'Sac Parametreleri'!$B$6*G122</f>
        <v>5.7873889499999995</v>
      </c>
      <c r="U122" s="122">
        <f>N122*F122*'Sac Parametreleri'!$B$6*G122</f>
        <v>5.3992331399999998</v>
      </c>
      <c r="V122" s="122">
        <f>M122*F122*'Sac Parametreleri'!$B$6*G122</f>
        <v>11.186622089999998</v>
      </c>
      <c r="W122" s="118" t="s">
        <v>85</v>
      </c>
    </row>
    <row r="123" spans="1:23" ht="15" customHeight="1" x14ac:dyDescent="0.25">
      <c r="A123" s="118" t="s">
        <v>445</v>
      </c>
      <c r="B123" s="118">
        <v>3</v>
      </c>
      <c r="C123" s="118" t="s">
        <v>1635</v>
      </c>
      <c r="D123" s="118" t="s">
        <v>1632</v>
      </c>
      <c r="E123" s="118" t="s">
        <v>1552</v>
      </c>
      <c r="F123" s="118">
        <v>5</v>
      </c>
      <c r="G123" s="118">
        <v>1</v>
      </c>
      <c r="H123" s="118" t="s">
        <v>1551</v>
      </c>
      <c r="I123" s="159">
        <v>420</v>
      </c>
      <c r="J123" s="159">
        <v>200</v>
      </c>
      <c r="K123" s="160">
        <v>6.5360000000000001E-2</v>
      </c>
      <c r="L123" s="160">
        <v>1.8589000000000001E-2</v>
      </c>
      <c r="M123" s="161">
        <f t="shared" si="5"/>
        <v>8.4000000000000005E-2</v>
      </c>
      <c r="N123" s="161">
        <f t="shared" si="6"/>
        <v>1.8640000000000004E-2</v>
      </c>
      <c r="O123" s="121">
        <f t="shared" si="7"/>
        <v>0.22190476190476194</v>
      </c>
      <c r="P123" s="162">
        <f>IF(E123="Hardox 450",INDEX('Sac Parametreleri'!$G$11:$G$24,MATCH(F123,'Sac Parametreleri'!$A$11:$A$24,0)),INDEX('Sac Parametreleri'!$E$11:$E$24,MATCH(F123,'Sac Parametreleri'!$A$11:$A$24,0)))</f>
        <v>31.400000000000002</v>
      </c>
      <c r="Q123" s="162">
        <f>INDEX('Sac Parametreleri'!$F$11:$F$24,MATCH(F123,'Sac Parametreleri'!$A$11:$A$24,0))</f>
        <v>12.845454545454546</v>
      </c>
      <c r="R123" s="163">
        <f t="shared" si="8"/>
        <v>2.3981607272727277</v>
      </c>
      <c r="S123" s="163">
        <f t="shared" si="9"/>
        <v>2.3981607272727277</v>
      </c>
      <c r="T123" s="122">
        <f>K123*F123*'Sac Parametreleri'!$B$6*G123</f>
        <v>2.5653799999999998</v>
      </c>
      <c r="U123" s="122">
        <f>N123*F123*'Sac Parametreleri'!$B$6*G123</f>
        <v>0.73162000000000016</v>
      </c>
      <c r="V123" s="122">
        <f>M123*F123*'Sac Parametreleri'!$B$6*G123</f>
        <v>3.2970000000000002</v>
      </c>
      <c r="W123" s="118" t="s">
        <v>85</v>
      </c>
    </row>
    <row r="124" spans="1:23" ht="15" customHeight="1" x14ac:dyDescent="0.25">
      <c r="A124" s="118" t="s">
        <v>445</v>
      </c>
      <c r="B124" s="118">
        <v>4</v>
      </c>
      <c r="C124" s="118" t="s">
        <v>1636</v>
      </c>
      <c r="D124" s="118" t="s">
        <v>1634</v>
      </c>
      <c r="E124" s="118" t="s">
        <v>1552</v>
      </c>
      <c r="F124" s="118">
        <v>5</v>
      </c>
      <c r="G124" s="118">
        <v>1</v>
      </c>
      <c r="H124" s="118" t="s">
        <v>1551</v>
      </c>
      <c r="I124" s="159">
        <v>500</v>
      </c>
      <c r="J124" s="159">
        <v>200</v>
      </c>
      <c r="K124" s="160">
        <v>8.5939000000000002E-2</v>
      </c>
      <c r="L124" s="160">
        <v>1.0248E-2</v>
      </c>
      <c r="M124" s="161">
        <f t="shared" si="5"/>
        <v>0.1</v>
      </c>
      <c r="N124" s="161">
        <f t="shared" si="6"/>
        <v>1.4061000000000004E-2</v>
      </c>
      <c r="O124" s="121">
        <f t="shared" si="7"/>
        <v>0.14061000000000004</v>
      </c>
      <c r="P124" s="162">
        <f>IF(E124="Hardox 450",INDEX('Sac Parametreleri'!$G$11:$G$24,MATCH(F124,'Sac Parametreleri'!$A$11:$A$24,0)),INDEX('Sac Parametreleri'!$E$11:$E$24,MATCH(F124,'Sac Parametreleri'!$A$11:$A$24,0)))</f>
        <v>31.400000000000002</v>
      </c>
      <c r="Q124" s="162">
        <f>INDEX('Sac Parametreleri'!$F$11:$F$24,MATCH(F124,'Sac Parametreleri'!$A$11:$A$24,0))</f>
        <v>12.845454545454546</v>
      </c>
      <c r="R124" s="163">
        <f t="shared" si="8"/>
        <v>2.9593800636363641</v>
      </c>
      <c r="S124" s="163">
        <f t="shared" si="9"/>
        <v>2.9593800636363641</v>
      </c>
      <c r="T124" s="122">
        <f>K124*F124*'Sac Parametreleri'!$B$6*G124</f>
        <v>3.3731057499999997</v>
      </c>
      <c r="U124" s="122">
        <f>N124*F124*'Sac Parametreleri'!$B$6*G124</f>
        <v>0.55189425000000014</v>
      </c>
      <c r="V124" s="122">
        <f>M124*F124*'Sac Parametreleri'!$B$6*G124</f>
        <v>3.9249999999999998</v>
      </c>
      <c r="W124" s="118" t="s">
        <v>85</v>
      </c>
    </row>
    <row r="125" spans="1:23" ht="15" customHeight="1" x14ac:dyDescent="0.25">
      <c r="A125" s="118" t="s">
        <v>445</v>
      </c>
      <c r="B125" s="118">
        <v>5</v>
      </c>
      <c r="C125" s="118" t="s">
        <v>971</v>
      </c>
      <c r="D125" s="118" t="s">
        <v>941</v>
      </c>
      <c r="E125" s="118" t="s">
        <v>1552</v>
      </c>
      <c r="F125" s="118">
        <v>3</v>
      </c>
      <c r="G125" s="118">
        <v>2</v>
      </c>
      <c r="H125" s="118" t="s">
        <v>1560</v>
      </c>
      <c r="I125" s="159">
        <v>248.3</v>
      </c>
      <c r="J125" s="159">
        <v>30</v>
      </c>
      <c r="K125" s="160">
        <v>7.4159999999999998E-3</v>
      </c>
      <c r="L125" s="160">
        <v>0</v>
      </c>
      <c r="M125" s="161">
        <f t="shared" si="5"/>
        <v>7.4489999999999999E-3</v>
      </c>
      <c r="N125" s="161">
        <f t="shared" si="6"/>
        <v>3.3000000000000043E-5</v>
      </c>
      <c r="O125" s="121">
        <f t="shared" si="7"/>
        <v>4.4301248489730227E-3</v>
      </c>
      <c r="P125" s="162">
        <f>IF(E125="Hardox 450",INDEX('Sac Parametreleri'!$G$11:$G$24,MATCH(F125,'Sac Parametreleri'!$A$11:$A$24,0)),INDEX('Sac Parametreleri'!$E$11:$E$24,MATCH(F125,'Sac Parametreleri'!$A$11:$A$24,0)))</f>
        <v>18.84</v>
      </c>
      <c r="Q125" s="162">
        <f>INDEX('Sac Parametreleri'!$F$11:$F$24,MATCH(F125,'Sac Parametreleri'!$A$11:$A$24,0))</f>
        <v>7.7072727272727262</v>
      </c>
      <c r="R125" s="163">
        <f t="shared" si="8"/>
        <v>0.14008482</v>
      </c>
      <c r="S125" s="163">
        <f t="shared" si="9"/>
        <v>0.28016964</v>
      </c>
      <c r="T125" s="122">
        <f>K125*F125*'Sac Parametreleri'!$B$6*G125</f>
        <v>0.34929359999999998</v>
      </c>
      <c r="U125" s="122">
        <f>N125*F125*'Sac Parametreleri'!$B$6*G125</f>
        <v>1.5543000000000019E-3</v>
      </c>
      <c r="V125" s="122">
        <f>M125*F125*'Sac Parametreleri'!$B$6*G125</f>
        <v>0.35084789999999999</v>
      </c>
      <c r="W125" s="118" t="s">
        <v>85</v>
      </c>
    </row>
    <row r="126" spans="1:23" ht="15" customHeight="1" x14ac:dyDescent="0.25">
      <c r="A126" s="118" t="s">
        <v>625</v>
      </c>
      <c r="B126" s="118">
        <v>1</v>
      </c>
      <c r="C126" s="118" t="s">
        <v>1637</v>
      </c>
      <c r="D126" s="118" t="s">
        <v>1638</v>
      </c>
      <c r="E126" s="118" t="s">
        <v>1552</v>
      </c>
      <c r="F126" s="118">
        <v>15</v>
      </c>
      <c r="G126" s="118">
        <v>1</v>
      </c>
      <c r="H126" s="118" t="s">
        <v>1551</v>
      </c>
      <c r="I126" s="159">
        <v>684</v>
      </c>
      <c r="J126" s="159">
        <v>279.10000000000002</v>
      </c>
      <c r="K126" s="160">
        <v>0.118008</v>
      </c>
      <c r="L126" s="160">
        <v>1.598E-3</v>
      </c>
      <c r="M126" s="161">
        <f t="shared" si="5"/>
        <v>0.19090440000000003</v>
      </c>
      <c r="N126" s="161">
        <f t="shared" si="6"/>
        <v>7.2896400000000028E-2</v>
      </c>
      <c r="O126" s="121">
        <f t="shared" si="7"/>
        <v>0.38184766825699157</v>
      </c>
      <c r="P126" s="162">
        <f>IF(E126="Hardox 450",INDEX('Sac Parametreleri'!$G$11:$G$24,MATCH(F126,'Sac Parametreleri'!$A$11:$A$24,0)),INDEX('Sac Parametreleri'!$E$11:$E$24,MATCH(F126,'Sac Parametreleri'!$A$11:$A$24,0)))</f>
        <v>94.2</v>
      </c>
      <c r="Q126" s="162">
        <f>INDEX('Sac Parametreleri'!$F$11:$F$24,MATCH(F126,'Sac Parametreleri'!$A$11:$A$24,0))</f>
        <v>38.536363636363639</v>
      </c>
      <c r="R126" s="163">
        <f t="shared" si="8"/>
        <v>15.174032301818183</v>
      </c>
      <c r="S126" s="163">
        <f t="shared" si="9"/>
        <v>15.174032301818183</v>
      </c>
      <c r="T126" s="122">
        <f>K126*F126*'Sac Parametreleri'!$B$6*G126</f>
        <v>13.895441999999999</v>
      </c>
      <c r="U126" s="122">
        <f>N126*F126*'Sac Parametreleri'!$B$6*G126</f>
        <v>8.5835511000000029</v>
      </c>
      <c r="V126" s="122">
        <f>M126*F126*'Sac Parametreleri'!$B$6*G126</f>
        <v>22.478993100000004</v>
      </c>
      <c r="W126" s="118" t="s">
        <v>85</v>
      </c>
    </row>
    <row r="127" spans="1:23" ht="15" customHeight="1" x14ac:dyDescent="0.25">
      <c r="A127" s="118" t="s">
        <v>481</v>
      </c>
      <c r="B127" s="118">
        <v>1</v>
      </c>
      <c r="C127" s="118" t="s">
        <v>929</v>
      </c>
      <c r="D127" s="118" t="s">
        <v>930</v>
      </c>
      <c r="E127" s="118" t="s">
        <v>1552</v>
      </c>
      <c r="F127" s="118">
        <v>5</v>
      </c>
      <c r="G127" s="118">
        <v>1</v>
      </c>
      <c r="H127" s="118" t="s">
        <v>1560</v>
      </c>
      <c r="I127" s="159">
        <v>1063.5999999999999</v>
      </c>
      <c r="J127" s="159">
        <v>400</v>
      </c>
      <c r="K127" s="160">
        <v>0.31137199999999998</v>
      </c>
      <c r="L127" s="160">
        <v>6.0099999999999997E-4</v>
      </c>
      <c r="M127" s="161">
        <f t="shared" si="5"/>
        <v>0.42543999999999993</v>
      </c>
      <c r="N127" s="161">
        <f t="shared" si="6"/>
        <v>0.11406799999999995</v>
      </c>
      <c r="O127" s="121">
        <f t="shared" si="7"/>
        <v>0.26811771342609997</v>
      </c>
      <c r="P127" s="162">
        <f>IF(E127="Hardox 450",INDEX('Sac Parametreleri'!$G$11:$G$24,MATCH(F127,'Sac Parametreleri'!$A$11:$A$24,0)),INDEX('Sac Parametreleri'!$E$11:$E$24,MATCH(F127,'Sac Parametreleri'!$A$11:$A$24,0)))</f>
        <v>31.400000000000002</v>
      </c>
      <c r="Q127" s="162">
        <f>INDEX('Sac Parametreleri'!$F$11:$F$24,MATCH(F127,'Sac Parametreleri'!$A$11:$A$24,0))</f>
        <v>12.845454545454546</v>
      </c>
      <c r="R127" s="163">
        <f t="shared" si="8"/>
        <v>11.893560690909091</v>
      </c>
      <c r="S127" s="163">
        <f t="shared" si="9"/>
        <v>11.893560690909091</v>
      </c>
      <c r="T127" s="122">
        <f>K127*F127*'Sac Parametreleri'!$B$6*G127</f>
        <v>12.221350999999999</v>
      </c>
      <c r="U127" s="122">
        <f>N127*F127*'Sac Parametreleri'!$B$6*G127</f>
        <v>4.4771689999999973</v>
      </c>
      <c r="V127" s="122">
        <f>M127*F127*'Sac Parametreleri'!$B$6*G127</f>
        <v>16.698519999999998</v>
      </c>
      <c r="W127" s="118" t="s">
        <v>85</v>
      </c>
    </row>
    <row r="128" spans="1:23" ht="15" customHeight="1" x14ac:dyDescent="0.25">
      <c r="A128" s="118" t="s">
        <v>481</v>
      </c>
      <c r="B128" s="118">
        <v>2</v>
      </c>
      <c r="C128" s="118" t="s">
        <v>931</v>
      </c>
      <c r="D128" s="118" t="s">
        <v>932</v>
      </c>
      <c r="E128" s="118" t="s">
        <v>1552</v>
      </c>
      <c r="F128" s="118">
        <v>4</v>
      </c>
      <c r="G128" s="118">
        <v>1</v>
      </c>
      <c r="H128" s="118" t="s">
        <v>1553</v>
      </c>
      <c r="I128" s="159">
        <v>800</v>
      </c>
      <c r="J128" s="159">
        <v>161.5</v>
      </c>
      <c r="K128" s="160">
        <v>0.12874099999999999</v>
      </c>
      <c r="L128" s="160">
        <v>0</v>
      </c>
      <c r="M128" s="161">
        <f t="shared" si="5"/>
        <v>0.12920000000000001</v>
      </c>
      <c r="N128" s="161">
        <f t="shared" si="6"/>
        <v>4.5900000000001495E-4</v>
      </c>
      <c r="O128" s="121">
        <f t="shared" si="7"/>
        <v>3.5526315789474838E-3</v>
      </c>
      <c r="P128" s="162">
        <f>IF(E128="Hardox 450",INDEX('Sac Parametreleri'!$G$11:$G$24,MATCH(F128,'Sac Parametreleri'!$A$11:$A$24,0)),INDEX('Sac Parametreleri'!$E$11:$E$24,MATCH(F128,'Sac Parametreleri'!$A$11:$A$24,0)))</f>
        <v>25.12</v>
      </c>
      <c r="Q128" s="162">
        <f>INDEX('Sac Parametreleri'!$F$11:$F$24,MATCH(F128,'Sac Parametreleri'!$A$11:$A$24,0))</f>
        <v>10.276363636363635</v>
      </c>
      <c r="R128" s="163">
        <f t="shared" si="8"/>
        <v>3.2407871490909095</v>
      </c>
      <c r="S128" s="163">
        <f t="shared" si="9"/>
        <v>3.2407871490909095</v>
      </c>
      <c r="T128" s="122">
        <f>K128*F128*'Sac Parametreleri'!$B$6*G128</f>
        <v>4.0424673999999996</v>
      </c>
      <c r="U128" s="122">
        <f>N128*F128*'Sac Parametreleri'!$B$6*G128</f>
        <v>1.4412600000000469E-2</v>
      </c>
      <c r="V128" s="122">
        <f>M128*F128*'Sac Parametreleri'!$B$6*G128</f>
        <v>4.0568800000000005</v>
      </c>
      <c r="W128" s="118" t="s">
        <v>85</v>
      </c>
    </row>
    <row r="129" spans="1:23" ht="15" customHeight="1" x14ac:dyDescent="0.25">
      <c r="A129" s="118" t="s">
        <v>481</v>
      </c>
      <c r="B129" s="118">
        <v>3</v>
      </c>
      <c r="C129" s="118" t="s">
        <v>933</v>
      </c>
      <c r="D129" s="118" t="s">
        <v>700</v>
      </c>
      <c r="E129" s="118" t="s">
        <v>1552</v>
      </c>
      <c r="F129" s="118">
        <v>5</v>
      </c>
      <c r="G129" s="118">
        <v>1</v>
      </c>
      <c r="H129" s="118" t="s">
        <v>1553</v>
      </c>
      <c r="I129" s="159">
        <v>130</v>
      </c>
      <c r="J129" s="159">
        <v>96.9</v>
      </c>
      <c r="K129" s="160">
        <v>7.77E-3</v>
      </c>
      <c r="L129" s="160">
        <v>3.1399999999999999E-4</v>
      </c>
      <c r="M129" s="161">
        <f t="shared" si="5"/>
        <v>1.2597000000000001E-2</v>
      </c>
      <c r="N129" s="161">
        <f t="shared" si="6"/>
        <v>4.8270000000000006E-3</v>
      </c>
      <c r="O129" s="121">
        <f t="shared" si="7"/>
        <v>0.38318647296975472</v>
      </c>
      <c r="P129" s="162">
        <f>IF(E129="Hardox 450",INDEX('Sac Parametreleri'!$G$11:$G$24,MATCH(F129,'Sac Parametreleri'!$A$11:$A$24,0)),INDEX('Sac Parametreleri'!$E$11:$E$24,MATCH(F129,'Sac Parametreleri'!$A$11:$A$24,0)))</f>
        <v>31.400000000000002</v>
      </c>
      <c r="Q129" s="162">
        <f>INDEX('Sac Parametreleri'!$F$11:$F$24,MATCH(F129,'Sac Parametreleri'!$A$11:$A$24,0))</f>
        <v>12.845454545454546</v>
      </c>
      <c r="R129" s="163">
        <f t="shared" si="8"/>
        <v>0.33354079090909095</v>
      </c>
      <c r="S129" s="163">
        <f t="shared" si="9"/>
        <v>0.33354079090909095</v>
      </c>
      <c r="T129" s="122">
        <f>K129*F129*'Sac Parametreleri'!$B$6*G129</f>
        <v>0.30497249999999998</v>
      </c>
      <c r="U129" s="122">
        <f>N129*F129*'Sac Parametreleri'!$B$6*G129</f>
        <v>0.18945975000000001</v>
      </c>
      <c r="V129" s="122">
        <f>M129*F129*'Sac Parametreleri'!$B$6*G129</f>
        <v>0.49443224999999996</v>
      </c>
      <c r="W129" s="118" t="s">
        <v>85</v>
      </c>
    </row>
    <row r="130" spans="1:23" ht="15" customHeight="1" x14ac:dyDescent="0.25">
      <c r="A130" s="118" t="s">
        <v>481</v>
      </c>
      <c r="B130" s="118">
        <v>4</v>
      </c>
      <c r="C130" s="118" t="s">
        <v>934</v>
      </c>
      <c r="D130" s="118" t="s">
        <v>700</v>
      </c>
      <c r="E130" s="118" t="s">
        <v>1552</v>
      </c>
      <c r="F130" s="118">
        <v>5</v>
      </c>
      <c r="G130" s="118">
        <v>1</v>
      </c>
      <c r="H130" s="118" t="s">
        <v>1553</v>
      </c>
      <c r="I130" s="159">
        <v>130</v>
      </c>
      <c r="J130" s="159">
        <v>97</v>
      </c>
      <c r="K130" s="160">
        <v>7.7759999999999999E-3</v>
      </c>
      <c r="L130" s="160">
        <v>3.1599999999999998E-4</v>
      </c>
      <c r="M130" s="161">
        <f t="shared" ref="M130:M193" si="10">I130*J130/1000000</f>
        <v>1.261E-2</v>
      </c>
      <c r="N130" s="161">
        <f t="shared" ref="N130:N193" si="11">MAX(M130-K130,0)</f>
        <v>4.8339999999999998E-3</v>
      </c>
      <c r="O130" s="121">
        <f t="shared" ref="O130:O193" si="12">IF(M130=0,0,N130/M130)</f>
        <v>0.38334655035685961</v>
      </c>
      <c r="P130" s="162">
        <f>IF(E130="Hardox 450",INDEX('Sac Parametreleri'!$G$11:$G$24,MATCH(F130,'Sac Parametreleri'!$A$11:$A$24,0)),INDEX('Sac Parametreleri'!$E$11:$E$24,MATCH(F130,'Sac Parametreleri'!$A$11:$A$24,0)))</f>
        <v>31.400000000000002</v>
      </c>
      <c r="Q130" s="162">
        <f>INDEX('Sac Parametreleri'!$F$11:$F$24,MATCH(F130,'Sac Parametreleri'!$A$11:$A$24,0))</f>
        <v>12.845454545454546</v>
      </c>
      <c r="R130" s="163">
        <f t="shared" ref="R130:R193" si="13">(K130+N130)*P130-N130*Q130</f>
        <v>0.33385907272727278</v>
      </c>
      <c r="S130" s="163">
        <f t="shared" ref="S130:S193" si="14">R130*G130</f>
        <v>0.33385907272727278</v>
      </c>
      <c r="T130" s="122">
        <f>K130*F130*'Sac Parametreleri'!$B$6*G130</f>
        <v>0.30520799999999998</v>
      </c>
      <c r="U130" s="122">
        <f>N130*F130*'Sac Parametreleri'!$B$6*G130</f>
        <v>0.18973449999999997</v>
      </c>
      <c r="V130" s="122">
        <f>M130*F130*'Sac Parametreleri'!$B$6*G130</f>
        <v>0.49494249999999995</v>
      </c>
      <c r="W130" s="118" t="s">
        <v>85</v>
      </c>
    </row>
    <row r="131" spans="1:23" ht="15" customHeight="1" x14ac:dyDescent="0.25">
      <c r="A131" s="118" t="s">
        <v>481</v>
      </c>
      <c r="B131" s="118">
        <v>5</v>
      </c>
      <c r="C131" s="118" t="s">
        <v>935</v>
      </c>
      <c r="D131" s="118" t="s">
        <v>700</v>
      </c>
      <c r="E131" s="118" t="s">
        <v>1552</v>
      </c>
      <c r="F131" s="118">
        <v>5</v>
      </c>
      <c r="G131" s="118">
        <v>1</v>
      </c>
      <c r="H131" s="118" t="s">
        <v>1553</v>
      </c>
      <c r="I131" s="159">
        <v>231.9</v>
      </c>
      <c r="J131" s="159">
        <v>40</v>
      </c>
      <c r="K131" s="160">
        <v>8.9610000000000002E-3</v>
      </c>
      <c r="L131" s="160">
        <v>3.1500000000000001E-4</v>
      </c>
      <c r="M131" s="161">
        <f t="shared" si="10"/>
        <v>9.2759999999999995E-3</v>
      </c>
      <c r="N131" s="161">
        <f t="shared" si="11"/>
        <v>3.1499999999999931E-4</v>
      </c>
      <c r="O131" s="121">
        <f t="shared" si="12"/>
        <v>3.3958602846054259E-2</v>
      </c>
      <c r="P131" s="162">
        <f>IF(E131="Hardox 450",INDEX('Sac Parametreleri'!$G$11:$G$24,MATCH(F131,'Sac Parametreleri'!$A$11:$A$24,0)),INDEX('Sac Parametreleri'!$E$11:$E$24,MATCH(F131,'Sac Parametreleri'!$A$11:$A$24,0)))</f>
        <v>31.400000000000002</v>
      </c>
      <c r="Q131" s="162">
        <f>INDEX('Sac Parametreleri'!$F$11:$F$24,MATCH(F131,'Sac Parametreleri'!$A$11:$A$24,0))</f>
        <v>12.845454545454546</v>
      </c>
      <c r="R131" s="163">
        <f t="shared" si="13"/>
        <v>0.28722008181818182</v>
      </c>
      <c r="S131" s="163">
        <f t="shared" si="14"/>
        <v>0.28722008181818182</v>
      </c>
      <c r="T131" s="122">
        <f>K131*F131*'Sac Parametreleri'!$B$6*G131</f>
        <v>0.35171924999999998</v>
      </c>
      <c r="U131" s="122">
        <f>N131*F131*'Sac Parametreleri'!$B$6*G131</f>
        <v>1.2363749999999972E-2</v>
      </c>
      <c r="V131" s="122">
        <f>M131*F131*'Sac Parametreleri'!$B$6*G131</f>
        <v>0.36408299999999999</v>
      </c>
      <c r="W131" s="118" t="s">
        <v>85</v>
      </c>
    </row>
    <row r="132" spans="1:23" ht="15" customHeight="1" x14ac:dyDescent="0.25">
      <c r="A132" s="118" t="s">
        <v>548</v>
      </c>
      <c r="B132" s="118">
        <v>1</v>
      </c>
      <c r="C132" s="118" t="s">
        <v>1639</v>
      </c>
      <c r="D132" s="118" t="s">
        <v>700</v>
      </c>
      <c r="E132" s="118" t="s">
        <v>1552</v>
      </c>
      <c r="F132" s="118">
        <v>15</v>
      </c>
      <c r="G132" s="118">
        <v>1</v>
      </c>
      <c r="H132" s="118" t="s">
        <v>1551</v>
      </c>
      <c r="I132" s="159">
        <v>676</v>
      </c>
      <c r="J132" s="159">
        <v>255</v>
      </c>
      <c r="K132" s="160">
        <v>9.2082999999999998E-2</v>
      </c>
      <c r="L132" s="160">
        <v>9.0869999999999996E-3</v>
      </c>
      <c r="M132" s="161">
        <f t="shared" si="10"/>
        <v>0.17238000000000001</v>
      </c>
      <c r="N132" s="161">
        <f t="shared" si="11"/>
        <v>8.0297000000000007E-2</v>
      </c>
      <c r="O132" s="121">
        <f t="shared" si="12"/>
        <v>0.4658138995243068</v>
      </c>
      <c r="P132" s="162">
        <f>IF(E132="Hardox 450",INDEX('Sac Parametreleri'!$G$11:$G$24,MATCH(F132,'Sac Parametreleri'!$A$11:$A$24,0)),INDEX('Sac Parametreleri'!$E$11:$E$24,MATCH(F132,'Sac Parametreleri'!$A$11:$A$24,0)))</f>
        <v>94.2</v>
      </c>
      <c r="Q132" s="162">
        <f>INDEX('Sac Parametreleri'!$F$11:$F$24,MATCH(F132,'Sac Parametreleri'!$A$11:$A$24,0))</f>
        <v>38.536363636363639</v>
      </c>
      <c r="R132" s="163">
        <f t="shared" si="13"/>
        <v>13.143841609090911</v>
      </c>
      <c r="S132" s="163">
        <f t="shared" si="14"/>
        <v>13.143841609090911</v>
      </c>
      <c r="T132" s="122">
        <f>K132*F132*'Sac Parametreleri'!$B$6*G132</f>
        <v>10.84277325</v>
      </c>
      <c r="U132" s="122">
        <f>N132*F132*'Sac Parametreleri'!$B$6*G132</f>
        <v>9.4549717500000003</v>
      </c>
      <c r="V132" s="122">
        <f>M132*F132*'Sac Parametreleri'!$B$6*G132</f>
        <v>20.297744999999999</v>
      </c>
      <c r="W132" s="118" t="s">
        <v>85</v>
      </c>
    </row>
    <row r="133" spans="1:23" ht="15" customHeight="1" x14ac:dyDescent="0.25">
      <c r="A133" s="118" t="s">
        <v>561</v>
      </c>
      <c r="B133" s="118">
        <v>1</v>
      </c>
      <c r="C133" s="118" t="s">
        <v>1640</v>
      </c>
      <c r="D133" s="118" t="s">
        <v>700</v>
      </c>
      <c r="E133" s="118" t="s">
        <v>1552</v>
      </c>
      <c r="F133" s="118">
        <v>15</v>
      </c>
      <c r="G133" s="118">
        <v>1</v>
      </c>
      <c r="H133" s="118" t="s">
        <v>1551</v>
      </c>
      <c r="I133" s="159">
        <v>700</v>
      </c>
      <c r="J133" s="159">
        <v>216.4</v>
      </c>
      <c r="K133" s="160">
        <v>8.6017999999999997E-2</v>
      </c>
      <c r="L133" s="160">
        <v>2.8349999999999998E-3</v>
      </c>
      <c r="M133" s="161">
        <f t="shared" si="10"/>
        <v>0.15148</v>
      </c>
      <c r="N133" s="161">
        <f t="shared" si="11"/>
        <v>6.5462000000000006E-2</v>
      </c>
      <c r="O133" s="121">
        <f t="shared" si="12"/>
        <v>0.43214945867441251</v>
      </c>
      <c r="P133" s="162">
        <f>IF(E133="Hardox 450",INDEX('Sac Parametreleri'!$G$11:$G$24,MATCH(F133,'Sac Parametreleri'!$A$11:$A$24,0)),INDEX('Sac Parametreleri'!$E$11:$E$24,MATCH(F133,'Sac Parametreleri'!$A$11:$A$24,0)))</f>
        <v>94.2</v>
      </c>
      <c r="Q133" s="162">
        <f>INDEX('Sac Parametreleri'!$F$11:$F$24,MATCH(F133,'Sac Parametreleri'!$A$11:$A$24,0))</f>
        <v>38.536363636363639</v>
      </c>
      <c r="R133" s="163">
        <f t="shared" si="13"/>
        <v>11.746748563636364</v>
      </c>
      <c r="S133" s="163">
        <f t="shared" si="14"/>
        <v>11.746748563636364</v>
      </c>
      <c r="T133" s="122">
        <f>K133*F133*'Sac Parametreleri'!$B$6*G133</f>
        <v>10.128619499999999</v>
      </c>
      <c r="U133" s="122">
        <f>N133*F133*'Sac Parametreleri'!$B$6*G133</f>
        <v>7.7081505000000003</v>
      </c>
      <c r="V133" s="122">
        <f>M133*F133*'Sac Parametreleri'!$B$6*G133</f>
        <v>17.836770000000001</v>
      </c>
      <c r="W133" s="118" t="s">
        <v>85</v>
      </c>
    </row>
    <row r="134" spans="1:23" ht="15" customHeight="1" x14ac:dyDescent="0.25">
      <c r="A134" s="118" t="s">
        <v>580</v>
      </c>
      <c r="B134" s="118">
        <v>1</v>
      </c>
      <c r="C134" s="118" t="s">
        <v>1641</v>
      </c>
      <c r="D134" s="118" t="s">
        <v>1642</v>
      </c>
      <c r="E134" s="118" t="s">
        <v>1552</v>
      </c>
      <c r="F134" s="118">
        <v>6</v>
      </c>
      <c r="G134" s="118">
        <v>1</v>
      </c>
      <c r="H134" s="118" t="s">
        <v>1551</v>
      </c>
      <c r="I134" s="159">
        <v>180</v>
      </c>
      <c r="J134" s="159">
        <v>180</v>
      </c>
      <c r="K134" s="160">
        <v>3.1391000000000002E-2</v>
      </c>
      <c r="L134" s="160">
        <v>7.76E-4</v>
      </c>
      <c r="M134" s="161">
        <f t="shared" si="10"/>
        <v>3.2399999999999998E-2</v>
      </c>
      <c r="N134" s="161">
        <f t="shared" si="11"/>
        <v>1.008999999999996E-3</v>
      </c>
      <c r="O134" s="121">
        <f t="shared" si="12"/>
        <v>3.1141975308641854E-2</v>
      </c>
      <c r="P134" s="162">
        <f>IF(E134="Hardox 450",INDEX('Sac Parametreleri'!$G$11:$G$24,MATCH(F134,'Sac Parametreleri'!$A$11:$A$24,0)),INDEX('Sac Parametreleri'!$E$11:$E$24,MATCH(F134,'Sac Parametreleri'!$A$11:$A$24,0)))</f>
        <v>37.68</v>
      </c>
      <c r="Q134" s="162">
        <f>INDEX('Sac Parametreleri'!$F$11:$F$24,MATCH(F134,'Sac Parametreleri'!$A$11:$A$24,0))</f>
        <v>15.414545454545452</v>
      </c>
      <c r="R134" s="163">
        <f t="shared" si="13"/>
        <v>1.2052787236363636</v>
      </c>
      <c r="S134" s="163">
        <f t="shared" si="14"/>
        <v>1.2052787236363636</v>
      </c>
      <c r="T134" s="122">
        <f>K134*F134*'Sac Parametreleri'!$B$6*G134</f>
        <v>1.4785161</v>
      </c>
      <c r="U134" s="122">
        <f>N134*F134*'Sac Parametreleri'!$B$6*G134</f>
        <v>4.7523899999999807E-2</v>
      </c>
      <c r="V134" s="122">
        <f>M134*F134*'Sac Parametreleri'!$B$6*G134</f>
        <v>1.5260399999999998</v>
      </c>
      <c r="W134" s="118" t="s">
        <v>85</v>
      </c>
    </row>
    <row r="135" spans="1:23" ht="15" customHeight="1" x14ac:dyDescent="0.25">
      <c r="A135" s="118" t="s">
        <v>580</v>
      </c>
      <c r="B135" s="118">
        <v>2</v>
      </c>
      <c r="C135" s="118" t="s">
        <v>1643</v>
      </c>
      <c r="D135" s="118" t="s">
        <v>1644</v>
      </c>
      <c r="E135" s="118" t="s">
        <v>1552</v>
      </c>
      <c r="F135" s="118">
        <v>6</v>
      </c>
      <c r="G135" s="118">
        <v>2</v>
      </c>
      <c r="H135" s="118" t="s">
        <v>1551</v>
      </c>
      <c r="I135" s="159">
        <v>538.6</v>
      </c>
      <c r="J135" s="159">
        <v>120</v>
      </c>
      <c r="K135" s="160">
        <v>6.3449000000000005E-2</v>
      </c>
      <c r="L135" s="160">
        <v>0</v>
      </c>
      <c r="M135" s="161">
        <f t="shared" si="10"/>
        <v>6.4631999999999995E-2</v>
      </c>
      <c r="N135" s="161">
        <f t="shared" si="11"/>
        <v>1.1829999999999896E-3</v>
      </c>
      <c r="O135" s="121">
        <f t="shared" si="12"/>
        <v>1.8303626686470939E-2</v>
      </c>
      <c r="P135" s="162">
        <f>IF(E135="Hardox 450",INDEX('Sac Parametreleri'!$G$11:$G$24,MATCH(F135,'Sac Parametreleri'!$A$11:$A$24,0)),INDEX('Sac Parametreleri'!$E$11:$E$24,MATCH(F135,'Sac Parametreleri'!$A$11:$A$24,0)))</f>
        <v>37.68</v>
      </c>
      <c r="Q135" s="162">
        <f>INDEX('Sac Parametreleri'!$F$11:$F$24,MATCH(F135,'Sac Parametreleri'!$A$11:$A$24,0))</f>
        <v>15.414545454545452</v>
      </c>
      <c r="R135" s="163">
        <f t="shared" si="13"/>
        <v>2.4170983527272725</v>
      </c>
      <c r="S135" s="163">
        <f t="shared" si="14"/>
        <v>4.8341967054545449</v>
      </c>
      <c r="T135" s="122">
        <f>K135*F135*'Sac Parametreleri'!$B$6*G135</f>
        <v>5.9768958000000003</v>
      </c>
      <c r="U135" s="122">
        <f>N135*F135*'Sac Parametreleri'!$B$6*G135</f>
        <v>0.11143859999999901</v>
      </c>
      <c r="V135" s="122">
        <f>M135*F135*'Sac Parametreleri'!$B$6*G135</f>
        <v>6.088334399999999</v>
      </c>
      <c r="W135" s="118" t="s">
        <v>85</v>
      </c>
    </row>
    <row r="136" spans="1:23" ht="15" customHeight="1" x14ac:dyDescent="0.25">
      <c r="A136" s="118" t="s">
        <v>580</v>
      </c>
      <c r="B136" s="118">
        <v>4</v>
      </c>
      <c r="C136" s="118" t="s">
        <v>1645</v>
      </c>
      <c r="D136" s="118" t="s">
        <v>1646</v>
      </c>
      <c r="E136" s="118" t="s">
        <v>1552</v>
      </c>
      <c r="F136" s="118">
        <v>6</v>
      </c>
      <c r="G136" s="118">
        <v>1</v>
      </c>
      <c r="H136" s="118" t="s">
        <v>1551</v>
      </c>
      <c r="I136" s="159">
        <v>501.3</v>
      </c>
      <c r="J136" s="159">
        <v>70</v>
      </c>
      <c r="K136" s="160">
        <v>3.4372E-2</v>
      </c>
      <c r="L136" s="160">
        <v>0</v>
      </c>
      <c r="M136" s="161">
        <f t="shared" si="10"/>
        <v>3.5090999999999997E-2</v>
      </c>
      <c r="N136" s="161">
        <f t="shared" si="11"/>
        <v>7.1899999999999742E-4</v>
      </c>
      <c r="O136" s="121">
        <f t="shared" si="12"/>
        <v>2.0489584223874997E-2</v>
      </c>
      <c r="P136" s="162">
        <f>IF(E136="Hardox 450",INDEX('Sac Parametreleri'!$G$11:$G$24,MATCH(F136,'Sac Parametreleri'!$A$11:$A$24,0)),INDEX('Sac Parametreleri'!$E$11:$E$24,MATCH(F136,'Sac Parametreleri'!$A$11:$A$24,0)))</f>
        <v>37.68</v>
      </c>
      <c r="Q136" s="162">
        <f>INDEX('Sac Parametreleri'!$F$11:$F$24,MATCH(F136,'Sac Parametreleri'!$A$11:$A$24,0))</f>
        <v>15.414545454545452</v>
      </c>
      <c r="R136" s="163">
        <f t="shared" si="13"/>
        <v>1.3111458218181817</v>
      </c>
      <c r="S136" s="163">
        <f t="shared" si="14"/>
        <v>1.3111458218181817</v>
      </c>
      <c r="T136" s="122">
        <f>K136*F136*'Sac Parametreleri'!$B$6*G136</f>
        <v>1.6189211999999999</v>
      </c>
      <c r="U136" s="122">
        <f>N136*F136*'Sac Parametreleri'!$B$6*G136</f>
        <v>3.3864899999999878E-2</v>
      </c>
      <c r="V136" s="122">
        <f>M136*F136*'Sac Parametreleri'!$B$6*G136</f>
        <v>1.6527860999999997</v>
      </c>
      <c r="W136" s="118" t="s">
        <v>85</v>
      </c>
    </row>
    <row r="137" spans="1:23" ht="15" customHeight="1" x14ac:dyDescent="0.25">
      <c r="A137" s="118" t="s">
        <v>580</v>
      </c>
      <c r="B137" s="118">
        <v>5</v>
      </c>
      <c r="C137" s="118" t="s">
        <v>1647</v>
      </c>
      <c r="D137" s="118" t="s">
        <v>1648</v>
      </c>
      <c r="E137" s="118" t="s">
        <v>1552</v>
      </c>
      <c r="F137" s="118">
        <v>6</v>
      </c>
      <c r="G137" s="118">
        <v>1</v>
      </c>
      <c r="H137" s="118" t="s">
        <v>1551</v>
      </c>
      <c r="I137" s="159">
        <v>517.1</v>
      </c>
      <c r="J137" s="159">
        <v>70</v>
      </c>
      <c r="K137" s="160">
        <v>3.5478000000000003E-2</v>
      </c>
      <c r="L137" s="160">
        <v>0</v>
      </c>
      <c r="M137" s="161">
        <f t="shared" si="10"/>
        <v>3.6197E-2</v>
      </c>
      <c r="N137" s="161">
        <f t="shared" si="11"/>
        <v>7.1899999999999742E-4</v>
      </c>
      <c r="O137" s="121">
        <f t="shared" si="12"/>
        <v>1.986352460148624E-2</v>
      </c>
      <c r="P137" s="162">
        <f>IF(E137="Hardox 450",INDEX('Sac Parametreleri'!$G$11:$G$24,MATCH(F137,'Sac Parametreleri'!$A$11:$A$24,0)),INDEX('Sac Parametreleri'!$E$11:$E$24,MATCH(F137,'Sac Parametreleri'!$A$11:$A$24,0)))</f>
        <v>37.68</v>
      </c>
      <c r="Q137" s="162">
        <f>INDEX('Sac Parametreleri'!$F$11:$F$24,MATCH(F137,'Sac Parametreleri'!$A$11:$A$24,0))</f>
        <v>15.414545454545452</v>
      </c>
      <c r="R137" s="163">
        <f t="shared" si="13"/>
        <v>1.3528199018181817</v>
      </c>
      <c r="S137" s="163">
        <f t="shared" si="14"/>
        <v>1.3528199018181817</v>
      </c>
      <c r="T137" s="122">
        <f>K137*F137*'Sac Parametreleri'!$B$6*G137</f>
        <v>1.6710137999999999</v>
      </c>
      <c r="U137" s="122">
        <f>N137*F137*'Sac Parametreleri'!$B$6*G137</f>
        <v>3.3864899999999878E-2</v>
      </c>
      <c r="V137" s="122">
        <f>M137*F137*'Sac Parametreleri'!$B$6*G137</f>
        <v>1.7048786999999999</v>
      </c>
      <c r="W137" s="118" t="s">
        <v>85</v>
      </c>
    </row>
    <row r="138" spans="1:23" ht="15" customHeight="1" x14ac:dyDescent="0.25">
      <c r="A138" s="118" t="s">
        <v>626</v>
      </c>
      <c r="B138" s="118">
        <v>1</v>
      </c>
      <c r="C138" s="118" t="s">
        <v>1649</v>
      </c>
      <c r="D138" s="118" t="s">
        <v>1650</v>
      </c>
      <c r="E138" s="118" t="s">
        <v>1552</v>
      </c>
      <c r="F138" s="118">
        <v>15</v>
      </c>
      <c r="G138" s="118">
        <v>1</v>
      </c>
      <c r="H138" s="118" t="s">
        <v>1551</v>
      </c>
      <c r="I138" s="159">
        <v>700</v>
      </c>
      <c r="J138" s="159">
        <v>232</v>
      </c>
      <c r="K138" s="160">
        <v>8.8354000000000002E-2</v>
      </c>
      <c r="L138" s="160">
        <v>1.598E-3</v>
      </c>
      <c r="M138" s="161">
        <f t="shared" si="10"/>
        <v>0.16239999999999999</v>
      </c>
      <c r="N138" s="161">
        <f t="shared" si="11"/>
        <v>7.4045999999999987E-2</v>
      </c>
      <c r="O138" s="121">
        <f t="shared" si="12"/>
        <v>0.45594827586206893</v>
      </c>
      <c r="P138" s="162">
        <f>IF(E138="Hardox 450",INDEX('Sac Parametreleri'!$G$11:$G$24,MATCH(F138,'Sac Parametreleri'!$A$11:$A$24,0)),INDEX('Sac Parametreleri'!$E$11:$E$24,MATCH(F138,'Sac Parametreleri'!$A$11:$A$24,0)))</f>
        <v>94.2</v>
      </c>
      <c r="Q138" s="162">
        <f>INDEX('Sac Parametreleri'!$F$11:$F$24,MATCH(F138,'Sac Parametreleri'!$A$11:$A$24,0))</f>
        <v>38.536363636363639</v>
      </c>
      <c r="R138" s="163">
        <f t="shared" si="13"/>
        <v>12.444616418181818</v>
      </c>
      <c r="S138" s="163">
        <f t="shared" si="14"/>
        <v>12.444616418181818</v>
      </c>
      <c r="T138" s="122">
        <f>K138*F138*'Sac Parametreleri'!$B$6*G138</f>
        <v>10.4036835</v>
      </c>
      <c r="U138" s="122">
        <f>N138*F138*'Sac Parametreleri'!$B$6*G138</f>
        <v>8.7189164999999971</v>
      </c>
      <c r="V138" s="122">
        <f>M138*F138*'Sac Parametreleri'!$B$6*G138</f>
        <v>19.122599999999998</v>
      </c>
      <c r="W138" s="118" t="s">
        <v>85</v>
      </c>
    </row>
    <row r="139" spans="1:23" ht="15" customHeight="1" x14ac:dyDescent="0.25">
      <c r="A139" s="118" t="s">
        <v>627</v>
      </c>
      <c r="B139" s="118">
        <v>1</v>
      </c>
      <c r="C139" s="118" t="s">
        <v>1651</v>
      </c>
      <c r="D139" s="118" t="s">
        <v>700</v>
      </c>
      <c r="E139" s="118" t="s">
        <v>1552</v>
      </c>
      <c r="F139" s="118">
        <v>15</v>
      </c>
      <c r="G139" s="118">
        <v>1</v>
      </c>
      <c r="H139" s="118" t="s">
        <v>1551</v>
      </c>
      <c r="I139" s="159">
        <v>700</v>
      </c>
      <c r="J139" s="159">
        <v>222</v>
      </c>
      <c r="K139" s="160">
        <v>7.5509000000000007E-2</v>
      </c>
      <c r="L139" s="160">
        <v>1.598E-3</v>
      </c>
      <c r="M139" s="161">
        <f t="shared" si="10"/>
        <v>0.15540000000000001</v>
      </c>
      <c r="N139" s="161">
        <f t="shared" si="11"/>
        <v>7.9891000000000004E-2</v>
      </c>
      <c r="O139" s="121">
        <f t="shared" si="12"/>
        <v>0.51409909909909912</v>
      </c>
      <c r="P139" s="162">
        <f>IF(E139="Hardox 450",INDEX('Sac Parametreleri'!$G$11:$G$24,MATCH(F139,'Sac Parametreleri'!$A$11:$A$24,0)),INDEX('Sac Parametreleri'!$E$11:$E$24,MATCH(F139,'Sac Parametreleri'!$A$11:$A$24,0)))</f>
        <v>94.2</v>
      </c>
      <c r="Q139" s="162">
        <f>INDEX('Sac Parametreleri'!$F$11:$F$24,MATCH(F139,'Sac Parametreleri'!$A$11:$A$24,0))</f>
        <v>38.536363636363639</v>
      </c>
      <c r="R139" s="163">
        <f t="shared" si="13"/>
        <v>11.559971372727272</v>
      </c>
      <c r="S139" s="163">
        <f t="shared" si="14"/>
        <v>11.559971372727272</v>
      </c>
      <c r="T139" s="122">
        <f>K139*F139*'Sac Parametreleri'!$B$6*G139</f>
        <v>8.8911847500000007</v>
      </c>
      <c r="U139" s="122">
        <f>N139*F139*'Sac Parametreleri'!$B$6*G139</f>
        <v>9.4071652500000003</v>
      </c>
      <c r="V139" s="122">
        <f>M139*F139*'Sac Parametreleri'!$B$6*G139</f>
        <v>18.298349999999999</v>
      </c>
      <c r="W139" s="118" t="s">
        <v>85</v>
      </c>
    </row>
    <row r="140" spans="1:23" ht="15" customHeight="1" x14ac:dyDescent="0.25">
      <c r="A140" s="118" t="s">
        <v>451</v>
      </c>
      <c r="B140" s="118">
        <v>1</v>
      </c>
      <c r="C140" s="118" t="s">
        <v>1652</v>
      </c>
      <c r="D140" s="118" t="s">
        <v>700</v>
      </c>
      <c r="E140" s="118" t="s">
        <v>1552</v>
      </c>
      <c r="F140" s="118">
        <v>8</v>
      </c>
      <c r="G140" s="118">
        <v>1</v>
      </c>
      <c r="H140" s="118" t="s">
        <v>1551</v>
      </c>
      <c r="I140" s="159">
        <v>350</v>
      </c>
      <c r="J140" s="159">
        <v>110</v>
      </c>
      <c r="K140" s="160">
        <v>3.5348999999999998E-2</v>
      </c>
      <c r="L140" s="160">
        <v>3.0660000000000001E-3</v>
      </c>
      <c r="M140" s="161">
        <f t="shared" si="10"/>
        <v>3.85E-2</v>
      </c>
      <c r="N140" s="161">
        <f t="shared" si="11"/>
        <v>3.151000000000001E-3</v>
      </c>
      <c r="O140" s="121">
        <f t="shared" si="12"/>
        <v>8.1844155844155872E-2</v>
      </c>
      <c r="P140" s="162">
        <f>IF(E140="Hardox 450",INDEX('Sac Parametreleri'!$G$11:$G$24,MATCH(F140,'Sac Parametreleri'!$A$11:$A$24,0)),INDEX('Sac Parametreleri'!$E$11:$E$24,MATCH(F140,'Sac Parametreleri'!$A$11:$A$24,0)))</f>
        <v>50.24</v>
      </c>
      <c r="Q140" s="162">
        <f>INDEX('Sac Parametreleri'!$F$11:$F$24,MATCH(F140,'Sac Parametreleri'!$A$11:$A$24,0))</f>
        <v>20.552727272727271</v>
      </c>
      <c r="R140" s="163">
        <f t="shared" si="13"/>
        <v>1.8694783563636364</v>
      </c>
      <c r="S140" s="163">
        <f t="shared" si="14"/>
        <v>1.8694783563636364</v>
      </c>
      <c r="T140" s="122">
        <f>K140*F140*'Sac Parametreleri'!$B$6*G140</f>
        <v>2.2199171999999998</v>
      </c>
      <c r="U140" s="122">
        <f>N140*F140*'Sac Parametreleri'!$B$6*G140</f>
        <v>0.19788280000000005</v>
      </c>
      <c r="V140" s="122">
        <f>M140*F140*'Sac Parametreleri'!$B$6*G140</f>
        <v>2.4177999999999997</v>
      </c>
      <c r="W140" s="118" t="s">
        <v>85</v>
      </c>
    </row>
    <row r="141" spans="1:23" ht="15" customHeight="1" x14ac:dyDescent="0.25">
      <c r="A141" s="118" t="s">
        <v>451</v>
      </c>
      <c r="B141" s="118">
        <v>2</v>
      </c>
      <c r="C141" s="118" t="s">
        <v>988</v>
      </c>
      <c r="D141" s="118" t="s">
        <v>700</v>
      </c>
      <c r="E141" s="118" t="s">
        <v>1552</v>
      </c>
      <c r="F141" s="118">
        <v>6</v>
      </c>
      <c r="G141" s="118">
        <v>1</v>
      </c>
      <c r="H141" s="118" t="s">
        <v>1560</v>
      </c>
      <c r="I141" s="159">
        <v>563.79999999999995</v>
      </c>
      <c r="J141" s="159">
        <v>166.1</v>
      </c>
      <c r="K141" s="160">
        <v>4.7197999999999997E-2</v>
      </c>
      <c r="L141" s="160">
        <v>9.3700000000000001E-4</v>
      </c>
      <c r="M141" s="161">
        <f t="shared" si="10"/>
        <v>9.3647179999999997E-2</v>
      </c>
      <c r="N141" s="161">
        <f t="shared" si="11"/>
        <v>4.644918E-2</v>
      </c>
      <c r="O141" s="121">
        <f t="shared" si="12"/>
        <v>0.49600190843974162</v>
      </c>
      <c r="P141" s="162">
        <f>IF(E141="Hardox 450",INDEX('Sac Parametreleri'!$G$11:$G$24,MATCH(F141,'Sac Parametreleri'!$A$11:$A$24,0)),INDEX('Sac Parametreleri'!$E$11:$E$24,MATCH(F141,'Sac Parametreleri'!$A$11:$A$24,0)))</f>
        <v>37.68</v>
      </c>
      <c r="Q141" s="162">
        <f>INDEX('Sac Parametreleri'!$F$11:$F$24,MATCH(F141,'Sac Parametreleri'!$A$11:$A$24,0))</f>
        <v>15.414545454545452</v>
      </c>
      <c r="R141" s="163">
        <f t="shared" si="13"/>
        <v>2.8126327459636364</v>
      </c>
      <c r="S141" s="163">
        <f t="shared" si="14"/>
        <v>2.8126327459636364</v>
      </c>
      <c r="T141" s="122">
        <f>K141*F141*'Sac Parametreleri'!$B$6*G141</f>
        <v>2.2230257999999998</v>
      </c>
      <c r="U141" s="122">
        <f>N141*F141*'Sac Parametreleri'!$B$6*G141</f>
        <v>2.1877563779999996</v>
      </c>
      <c r="V141" s="122">
        <f>M141*F141*'Sac Parametreleri'!$B$6*G141</f>
        <v>4.4107821779999998</v>
      </c>
      <c r="W141" s="118" t="s">
        <v>85</v>
      </c>
    </row>
    <row r="142" spans="1:23" ht="15" customHeight="1" x14ac:dyDescent="0.25">
      <c r="A142" s="118" t="s">
        <v>451</v>
      </c>
      <c r="B142" s="118">
        <v>3</v>
      </c>
      <c r="C142" s="118" t="s">
        <v>989</v>
      </c>
      <c r="D142" s="118" t="s">
        <v>700</v>
      </c>
      <c r="E142" s="118" t="s">
        <v>1552</v>
      </c>
      <c r="F142" s="118">
        <v>6</v>
      </c>
      <c r="G142" s="118">
        <v>1</v>
      </c>
      <c r="H142" s="118" t="s">
        <v>1560</v>
      </c>
      <c r="I142" s="159">
        <v>497.7</v>
      </c>
      <c r="J142" s="159">
        <v>153.1</v>
      </c>
      <c r="K142" s="160">
        <v>4.0554E-2</v>
      </c>
      <c r="L142" s="160">
        <v>0</v>
      </c>
      <c r="M142" s="161">
        <f t="shared" si="10"/>
        <v>7.6197870000000001E-2</v>
      </c>
      <c r="N142" s="161">
        <f t="shared" si="11"/>
        <v>3.5643870000000001E-2</v>
      </c>
      <c r="O142" s="121">
        <f t="shared" si="12"/>
        <v>0.46778039858594472</v>
      </c>
      <c r="P142" s="162">
        <f>IF(E142="Hardox 450",INDEX('Sac Parametreleri'!$G$11:$G$24,MATCH(F142,'Sac Parametreleri'!$A$11:$A$24,0)),INDEX('Sac Parametreleri'!$E$11:$E$24,MATCH(F142,'Sac Parametreleri'!$A$11:$A$24,0)))</f>
        <v>37.68</v>
      </c>
      <c r="Q142" s="162">
        <f>INDEX('Sac Parametreleri'!$F$11:$F$24,MATCH(F142,'Sac Parametreleri'!$A$11:$A$24,0))</f>
        <v>15.414545454545452</v>
      </c>
      <c r="R142" s="163">
        <f t="shared" si="13"/>
        <v>2.3217016873090905</v>
      </c>
      <c r="S142" s="163">
        <f t="shared" si="14"/>
        <v>2.3217016873090905</v>
      </c>
      <c r="T142" s="122">
        <f>K142*F142*'Sac Parametreleri'!$B$6*G142</f>
        <v>1.9100933999999998</v>
      </c>
      <c r="U142" s="122">
        <f>N142*F142*'Sac Parametreleri'!$B$6*G142</f>
        <v>1.678826277</v>
      </c>
      <c r="V142" s="122">
        <f>M142*F142*'Sac Parametreleri'!$B$6*G142</f>
        <v>3.5889196769999998</v>
      </c>
      <c r="W142" s="118" t="s">
        <v>85</v>
      </c>
    </row>
    <row r="143" spans="1:23" ht="15" customHeight="1" x14ac:dyDescent="0.25">
      <c r="A143" s="118" t="s">
        <v>451</v>
      </c>
      <c r="B143" s="118">
        <v>4</v>
      </c>
      <c r="C143" s="118" t="s">
        <v>990</v>
      </c>
      <c r="D143" s="118" t="s">
        <v>700</v>
      </c>
      <c r="E143" s="118" t="s">
        <v>1552</v>
      </c>
      <c r="F143" s="118">
        <v>6</v>
      </c>
      <c r="G143" s="118">
        <v>1</v>
      </c>
      <c r="H143" s="118" t="s">
        <v>1560</v>
      </c>
      <c r="I143" s="159">
        <v>568.1</v>
      </c>
      <c r="J143" s="159">
        <v>149.5</v>
      </c>
      <c r="K143" s="160">
        <v>6.4675999999999997E-2</v>
      </c>
      <c r="L143" s="160">
        <v>0</v>
      </c>
      <c r="M143" s="161">
        <f t="shared" si="10"/>
        <v>8.4930949999999991E-2</v>
      </c>
      <c r="N143" s="161">
        <f t="shared" si="11"/>
        <v>2.0254949999999994E-2</v>
      </c>
      <c r="O143" s="121">
        <f t="shared" si="12"/>
        <v>0.23848726524311803</v>
      </c>
      <c r="P143" s="162">
        <f>IF(E143="Hardox 450",INDEX('Sac Parametreleri'!$G$11:$G$24,MATCH(F143,'Sac Parametreleri'!$A$11:$A$24,0)),INDEX('Sac Parametreleri'!$E$11:$E$24,MATCH(F143,'Sac Parametreleri'!$A$11:$A$24,0)))</f>
        <v>37.68</v>
      </c>
      <c r="Q143" s="162">
        <f>INDEX('Sac Parametreleri'!$F$11:$F$24,MATCH(F143,'Sac Parametreleri'!$A$11:$A$24,0))</f>
        <v>15.414545454545452</v>
      </c>
      <c r="R143" s="163">
        <f t="shared" si="13"/>
        <v>2.8879773485454545</v>
      </c>
      <c r="S143" s="163">
        <f t="shared" si="14"/>
        <v>2.8879773485454545</v>
      </c>
      <c r="T143" s="122">
        <f>K143*F143*'Sac Parametreleri'!$B$6*G143</f>
        <v>3.0462395999999994</v>
      </c>
      <c r="U143" s="122">
        <f>N143*F143*'Sac Parametreleri'!$B$6*G143</f>
        <v>0.95400814499999964</v>
      </c>
      <c r="V143" s="122">
        <f>M143*F143*'Sac Parametreleri'!$B$6*G143</f>
        <v>4.0002477449999994</v>
      </c>
      <c r="W143" s="118" t="s">
        <v>85</v>
      </c>
    </row>
    <row r="144" spans="1:23" ht="15" customHeight="1" x14ac:dyDescent="0.25">
      <c r="A144" s="118" t="s">
        <v>451</v>
      </c>
      <c r="B144" s="118">
        <v>5</v>
      </c>
      <c r="C144" s="118" t="s">
        <v>991</v>
      </c>
      <c r="D144" s="118" t="s">
        <v>700</v>
      </c>
      <c r="E144" s="118" t="s">
        <v>1552</v>
      </c>
      <c r="F144" s="118">
        <v>6</v>
      </c>
      <c r="G144" s="118">
        <v>1</v>
      </c>
      <c r="H144" s="118" t="s">
        <v>1560</v>
      </c>
      <c r="I144" s="159">
        <v>579.1</v>
      </c>
      <c r="J144" s="159">
        <v>149.4</v>
      </c>
      <c r="K144" s="160">
        <v>6.4754999999999993E-2</v>
      </c>
      <c r="L144" s="160">
        <v>0</v>
      </c>
      <c r="M144" s="161">
        <f t="shared" si="10"/>
        <v>8.6517540000000004E-2</v>
      </c>
      <c r="N144" s="161">
        <f t="shared" si="11"/>
        <v>2.1762540000000011E-2</v>
      </c>
      <c r="O144" s="121">
        <f t="shared" si="12"/>
        <v>0.25153905208123128</v>
      </c>
      <c r="P144" s="162">
        <f>IF(E144="Hardox 450",INDEX('Sac Parametreleri'!$G$11:$G$24,MATCH(F144,'Sac Parametreleri'!$A$11:$A$24,0)),INDEX('Sac Parametreleri'!$E$11:$E$24,MATCH(F144,'Sac Parametreleri'!$A$11:$A$24,0)))</f>
        <v>37.68</v>
      </c>
      <c r="Q144" s="162">
        <f>INDEX('Sac Parametreleri'!$F$11:$F$24,MATCH(F144,'Sac Parametreleri'!$A$11:$A$24,0))</f>
        <v>15.414545454545452</v>
      </c>
      <c r="R144" s="163">
        <f t="shared" si="13"/>
        <v>2.9245212451636364</v>
      </c>
      <c r="S144" s="163">
        <f t="shared" si="14"/>
        <v>2.9245212451636364</v>
      </c>
      <c r="T144" s="122">
        <f>K144*F144*'Sac Parametreleri'!$B$6*G144</f>
        <v>3.0499604999999992</v>
      </c>
      <c r="U144" s="122">
        <f>N144*F144*'Sac Parametreleri'!$B$6*G144</f>
        <v>1.0250156340000005</v>
      </c>
      <c r="V144" s="122">
        <f>M144*F144*'Sac Parametreleri'!$B$6*G144</f>
        <v>4.0749761339999999</v>
      </c>
      <c r="W144" s="118" t="s">
        <v>85</v>
      </c>
    </row>
    <row r="145" spans="1:23" ht="15" customHeight="1" x14ac:dyDescent="0.25">
      <c r="A145" s="118" t="s">
        <v>451</v>
      </c>
      <c r="B145" s="118">
        <v>6</v>
      </c>
      <c r="C145" s="118" t="s">
        <v>1653</v>
      </c>
      <c r="D145" s="118" t="s">
        <v>700</v>
      </c>
      <c r="E145" s="118" t="s">
        <v>1552</v>
      </c>
      <c r="F145" s="118">
        <v>6</v>
      </c>
      <c r="G145" s="118">
        <v>2</v>
      </c>
      <c r="H145" s="118" t="s">
        <v>1551</v>
      </c>
      <c r="I145" s="159">
        <v>112.4</v>
      </c>
      <c r="J145" s="159">
        <v>37.4</v>
      </c>
      <c r="K145" s="160">
        <v>2.0999999999999999E-3</v>
      </c>
      <c r="L145" s="160">
        <v>0</v>
      </c>
      <c r="M145" s="161">
        <f t="shared" si="10"/>
        <v>4.20376E-3</v>
      </c>
      <c r="N145" s="161">
        <f t="shared" si="11"/>
        <v>2.1037600000000001E-3</v>
      </c>
      <c r="O145" s="121">
        <f t="shared" si="12"/>
        <v>0.50044721868041941</v>
      </c>
      <c r="P145" s="162">
        <f>IF(E145="Hardox 450",INDEX('Sac Parametreleri'!$G$11:$G$24,MATCH(F145,'Sac Parametreleri'!$A$11:$A$24,0)),INDEX('Sac Parametreleri'!$E$11:$E$24,MATCH(F145,'Sac Parametreleri'!$A$11:$A$24,0)))</f>
        <v>37.68</v>
      </c>
      <c r="Q145" s="162">
        <f>INDEX('Sac Parametreleri'!$F$11:$F$24,MATCH(F145,'Sac Parametreleri'!$A$11:$A$24,0))</f>
        <v>15.414545454545452</v>
      </c>
      <c r="R145" s="163">
        <f t="shared" si="13"/>
        <v>0.12596917265454546</v>
      </c>
      <c r="S145" s="163">
        <f t="shared" si="14"/>
        <v>0.25193834530909093</v>
      </c>
      <c r="T145" s="122">
        <f>K145*F145*'Sac Parametreleri'!$B$6*G145</f>
        <v>0.19782</v>
      </c>
      <c r="U145" s="122">
        <f>N145*F145*'Sac Parametreleri'!$B$6*G145</f>
        <v>0.19817419200000003</v>
      </c>
      <c r="V145" s="122">
        <f>M145*F145*'Sac Parametreleri'!$B$6*G145</f>
        <v>0.39599419199999997</v>
      </c>
      <c r="W145" s="118" t="s">
        <v>85</v>
      </c>
    </row>
    <row r="146" spans="1:23" ht="15" customHeight="1" x14ac:dyDescent="0.25">
      <c r="A146" s="118" t="s">
        <v>451</v>
      </c>
      <c r="B146" s="118">
        <v>7</v>
      </c>
      <c r="C146" s="118" t="s">
        <v>1654</v>
      </c>
      <c r="D146" s="118" t="s">
        <v>700</v>
      </c>
      <c r="E146" s="118" t="s">
        <v>1552</v>
      </c>
      <c r="F146" s="118">
        <v>6</v>
      </c>
      <c r="G146" s="118">
        <v>1</v>
      </c>
      <c r="H146" s="118" t="s">
        <v>1551</v>
      </c>
      <c r="I146" s="159">
        <v>300</v>
      </c>
      <c r="J146" s="159">
        <v>48.7</v>
      </c>
      <c r="K146" s="160">
        <v>8.1399999999999997E-3</v>
      </c>
      <c r="L146" s="160">
        <v>0</v>
      </c>
      <c r="M146" s="161">
        <f t="shared" si="10"/>
        <v>1.461E-2</v>
      </c>
      <c r="N146" s="161">
        <f t="shared" si="11"/>
        <v>6.4700000000000001E-3</v>
      </c>
      <c r="O146" s="121">
        <f t="shared" si="12"/>
        <v>0.44284736481861742</v>
      </c>
      <c r="P146" s="162">
        <f>IF(E146="Hardox 450",INDEX('Sac Parametreleri'!$G$11:$G$24,MATCH(F146,'Sac Parametreleri'!$A$11:$A$24,0)),INDEX('Sac Parametreleri'!$E$11:$E$24,MATCH(F146,'Sac Parametreleri'!$A$11:$A$24,0)))</f>
        <v>37.68</v>
      </c>
      <c r="Q146" s="162">
        <f>INDEX('Sac Parametreleri'!$F$11:$F$24,MATCH(F146,'Sac Parametreleri'!$A$11:$A$24,0))</f>
        <v>15.414545454545452</v>
      </c>
      <c r="R146" s="163">
        <f t="shared" si="13"/>
        <v>0.45077269090909095</v>
      </c>
      <c r="S146" s="163">
        <f t="shared" si="14"/>
        <v>0.45077269090909095</v>
      </c>
      <c r="T146" s="122">
        <f>K146*F146*'Sac Parametreleri'!$B$6*G146</f>
        <v>0.38339399999999996</v>
      </c>
      <c r="U146" s="122">
        <f>N146*F146*'Sac Parametreleri'!$B$6*G146</f>
        <v>0.30473699999999998</v>
      </c>
      <c r="V146" s="122">
        <f>M146*F146*'Sac Parametreleri'!$B$6*G146</f>
        <v>0.68813099999999994</v>
      </c>
      <c r="W146" s="118" t="s">
        <v>85</v>
      </c>
    </row>
    <row r="147" spans="1:23" ht="15" customHeight="1" x14ac:dyDescent="0.25">
      <c r="A147" s="118" t="s">
        <v>452</v>
      </c>
      <c r="B147" s="118">
        <v>1</v>
      </c>
      <c r="C147" s="118" t="s">
        <v>1652</v>
      </c>
      <c r="D147" s="118" t="s">
        <v>700</v>
      </c>
      <c r="E147" s="118" t="s">
        <v>1552</v>
      </c>
      <c r="F147" s="118">
        <v>8</v>
      </c>
      <c r="G147" s="118">
        <v>1</v>
      </c>
      <c r="H147" s="118" t="s">
        <v>1551</v>
      </c>
      <c r="I147" s="159">
        <v>350</v>
      </c>
      <c r="J147" s="159">
        <v>110</v>
      </c>
      <c r="K147" s="160">
        <v>3.5348999999999998E-2</v>
      </c>
      <c r="L147" s="160">
        <v>3.0660000000000001E-3</v>
      </c>
      <c r="M147" s="161">
        <f t="shared" si="10"/>
        <v>3.85E-2</v>
      </c>
      <c r="N147" s="161">
        <f t="shared" si="11"/>
        <v>3.151000000000001E-3</v>
      </c>
      <c r="O147" s="121">
        <f t="shared" si="12"/>
        <v>8.1844155844155872E-2</v>
      </c>
      <c r="P147" s="162">
        <f>IF(E147="Hardox 450",INDEX('Sac Parametreleri'!$G$11:$G$24,MATCH(F147,'Sac Parametreleri'!$A$11:$A$24,0)),INDEX('Sac Parametreleri'!$E$11:$E$24,MATCH(F147,'Sac Parametreleri'!$A$11:$A$24,0)))</f>
        <v>50.24</v>
      </c>
      <c r="Q147" s="162">
        <f>INDEX('Sac Parametreleri'!$F$11:$F$24,MATCH(F147,'Sac Parametreleri'!$A$11:$A$24,0))</f>
        <v>20.552727272727271</v>
      </c>
      <c r="R147" s="163">
        <f t="shared" si="13"/>
        <v>1.8694783563636364</v>
      </c>
      <c r="S147" s="163">
        <f t="shared" si="14"/>
        <v>1.8694783563636364</v>
      </c>
      <c r="T147" s="122">
        <f>K147*F147*'Sac Parametreleri'!$B$6*G147</f>
        <v>2.2199171999999998</v>
      </c>
      <c r="U147" s="122">
        <f>N147*F147*'Sac Parametreleri'!$B$6*G147</f>
        <v>0.19788280000000005</v>
      </c>
      <c r="V147" s="122">
        <f>M147*F147*'Sac Parametreleri'!$B$6*G147</f>
        <v>2.4177999999999997</v>
      </c>
      <c r="W147" s="118" t="s">
        <v>85</v>
      </c>
    </row>
    <row r="148" spans="1:23" ht="15" customHeight="1" x14ac:dyDescent="0.25">
      <c r="A148" s="118" t="s">
        <v>452</v>
      </c>
      <c r="B148" s="118">
        <v>2</v>
      </c>
      <c r="C148" s="118" t="s">
        <v>996</v>
      </c>
      <c r="D148" s="118" t="s">
        <v>700</v>
      </c>
      <c r="E148" s="118" t="s">
        <v>1552</v>
      </c>
      <c r="F148" s="118">
        <v>6</v>
      </c>
      <c r="G148" s="118">
        <v>1</v>
      </c>
      <c r="H148" s="118" t="s">
        <v>1560</v>
      </c>
      <c r="I148" s="159">
        <v>563.79999999999995</v>
      </c>
      <c r="J148" s="159">
        <v>166.1</v>
      </c>
      <c r="K148" s="160">
        <v>4.7213999999999999E-2</v>
      </c>
      <c r="L148" s="160">
        <v>9.3899999999999995E-4</v>
      </c>
      <c r="M148" s="161">
        <f t="shared" si="10"/>
        <v>9.3647179999999997E-2</v>
      </c>
      <c r="N148" s="161">
        <f t="shared" si="11"/>
        <v>4.6433179999999998E-2</v>
      </c>
      <c r="O148" s="121">
        <f t="shared" si="12"/>
        <v>0.49583105438946479</v>
      </c>
      <c r="P148" s="162">
        <f>IF(E148="Hardox 450",INDEX('Sac Parametreleri'!$G$11:$G$24,MATCH(F148,'Sac Parametreleri'!$A$11:$A$24,0)),INDEX('Sac Parametreleri'!$E$11:$E$24,MATCH(F148,'Sac Parametreleri'!$A$11:$A$24,0)))</f>
        <v>37.68</v>
      </c>
      <c r="Q148" s="162">
        <f>INDEX('Sac Parametreleri'!$F$11:$F$24,MATCH(F148,'Sac Parametreleri'!$A$11:$A$24,0))</f>
        <v>15.414545454545452</v>
      </c>
      <c r="R148" s="163">
        <f t="shared" si="13"/>
        <v>2.8128793786909094</v>
      </c>
      <c r="S148" s="163">
        <f t="shared" si="14"/>
        <v>2.8128793786909094</v>
      </c>
      <c r="T148" s="122">
        <f>K148*F148*'Sac Parametreleri'!$B$6*G148</f>
        <v>2.2237793999999997</v>
      </c>
      <c r="U148" s="122">
        <f>N148*F148*'Sac Parametreleri'!$B$6*G148</f>
        <v>2.1870027780000001</v>
      </c>
      <c r="V148" s="122">
        <f>M148*F148*'Sac Parametreleri'!$B$6*G148</f>
        <v>4.4107821779999998</v>
      </c>
      <c r="W148" s="118" t="s">
        <v>85</v>
      </c>
    </row>
    <row r="149" spans="1:23" ht="15" customHeight="1" x14ac:dyDescent="0.25">
      <c r="A149" s="118" t="s">
        <v>452</v>
      </c>
      <c r="B149" s="118">
        <v>3</v>
      </c>
      <c r="C149" s="118" t="s">
        <v>997</v>
      </c>
      <c r="D149" s="118" t="s">
        <v>700</v>
      </c>
      <c r="E149" s="118" t="s">
        <v>1552</v>
      </c>
      <c r="F149" s="118">
        <v>6</v>
      </c>
      <c r="G149" s="118">
        <v>1</v>
      </c>
      <c r="H149" s="118" t="s">
        <v>1560</v>
      </c>
      <c r="I149" s="159">
        <v>497.7</v>
      </c>
      <c r="J149" s="159">
        <v>153.1</v>
      </c>
      <c r="K149" s="160">
        <v>4.0543000000000003E-2</v>
      </c>
      <c r="L149" s="160">
        <v>0</v>
      </c>
      <c r="M149" s="161">
        <f t="shared" si="10"/>
        <v>7.6197870000000001E-2</v>
      </c>
      <c r="N149" s="161">
        <f t="shared" si="11"/>
        <v>3.5654869999999998E-2</v>
      </c>
      <c r="O149" s="121">
        <f t="shared" si="12"/>
        <v>0.46792475957661278</v>
      </c>
      <c r="P149" s="162">
        <f>IF(E149="Hardox 450",INDEX('Sac Parametreleri'!$G$11:$G$24,MATCH(F149,'Sac Parametreleri'!$A$11:$A$24,0)),INDEX('Sac Parametreleri'!$E$11:$E$24,MATCH(F149,'Sac Parametreleri'!$A$11:$A$24,0)))</f>
        <v>37.68</v>
      </c>
      <c r="Q149" s="162">
        <f>INDEX('Sac Parametreleri'!$F$11:$F$24,MATCH(F149,'Sac Parametreleri'!$A$11:$A$24,0))</f>
        <v>15.414545454545452</v>
      </c>
      <c r="R149" s="163">
        <f t="shared" si="13"/>
        <v>2.3215321273090908</v>
      </c>
      <c r="S149" s="163">
        <f t="shared" si="14"/>
        <v>2.3215321273090908</v>
      </c>
      <c r="T149" s="122">
        <f>K149*F149*'Sac Parametreleri'!$B$6*G149</f>
        <v>1.9095753000000002</v>
      </c>
      <c r="U149" s="122">
        <f>N149*F149*'Sac Parametreleri'!$B$6*G149</f>
        <v>1.6793443769999998</v>
      </c>
      <c r="V149" s="122">
        <f>M149*F149*'Sac Parametreleri'!$B$6*G149</f>
        <v>3.5889196769999998</v>
      </c>
      <c r="W149" s="118" t="s">
        <v>85</v>
      </c>
    </row>
    <row r="150" spans="1:23" ht="15" customHeight="1" x14ac:dyDescent="0.25">
      <c r="A150" s="118" t="s">
        <v>452</v>
      </c>
      <c r="B150" s="118">
        <v>4</v>
      </c>
      <c r="C150" s="118" t="s">
        <v>998</v>
      </c>
      <c r="D150" s="118" t="s">
        <v>700</v>
      </c>
      <c r="E150" s="118" t="s">
        <v>1552</v>
      </c>
      <c r="F150" s="118">
        <v>6</v>
      </c>
      <c r="G150" s="118">
        <v>1</v>
      </c>
      <c r="H150" s="118" t="s">
        <v>1560</v>
      </c>
      <c r="I150" s="159">
        <v>579.1</v>
      </c>
      <c r="J150" s="159">
        <v>149.4</v>
      </c>
      <c r="K150" s="160">
        <v>6.4735000000000001E-2</v>
      </c>
      <c r="L150" s="160">
        <v>0</v>
      </c>
      <c r="M150" s="161">
        <f t="shared" si="10"/>
        <v>8.6517540000000004E-2</v>
      </c>
      <c r="N150" s="161">
        <f t="shared" si="11"/>
        <v>2.1782540000000003E-2</v>
      </c>
      <c r="O150" s="121">
        <f t="shared" si="12"/>
        <v>0.25177021907927571</v>
      </c>
      <c r="P150" s="162">
        <f>IF(E150="Hardox 450",INDEX('Sac Parametreleri'!$G$11:$G$24,MATCH(F150,'Sac Parametreleri'!$A$11:$A$24,0)),INDEX('Sac Parametreleri'!$E$11:$E$24,MATCH(F150,'Sac Parametreleri'!$A$11:$A$24,0)))</f>
        <v>37.68</v>
      </c>
      <c r="Q150" s="162">
        <f>INDEX('Sac Parametreleri'!$F$11:$F$24,MATCH(F150,'Sac Parametreleri'!$A$11:$A$24,0))</f>
        <v>15.414545454545452</v>
      </c>
      <c r="R150" s="163">
        <f t="shared" si="13"/>
        <v>2.9242129542545454</v>
      </c>
      <c r="S150" s="163">
        <f t="shared" si="14"/>
        <v>2.9242129542545454</v>
      </c>
      <c r="T150" s="122">
        <f>K150*F150*'Sac Parametreleri'!$B$6*G150</f>
        <v>3.0490185000000003</v>
      </c>
      <c r="U150" s="122">
        <f>N150*F150*'Sac Parametreleri'!$B$6*G150</f>
        <v>1.0259576340000001</v>
      </c>
      <c r="V150" s="122">
        <f>M150*F150*'Sac Parametreleri'!$B$6*G150</f>
        <v>4.0749761339999999</v>
      </c>
      <c r="W150" s="118" t="s">
        <v>85</v>
      </c>
    </row>
    <row r="151" spans="1:23" ht="15" customHeight="1" x14ac:dyDescent="0.25">
      <c r="A151" s="118" t="s">
        <v>452</v>
      </c>
      <c r="B151" s="118">
        <v>5</v>
      </c>
      <c r="C151" s="118" t="s">
        <v>999</v>
      </c>
      <c r="D151" s="118" t="s">
        <v>700</v>
      </c>
      <c r="E151" s="118" t="s">
        <v>1552</v>
      </c>
      <c r="F151" s="118">
        <v>6</v>
      </c>
      <c r="G151" s="118">
        <v>1</v>
      </c>
      <c r="H151" s="118" t="s">
        <v>1560</v>
      </c>
      <c r="I151" s="159">
        <v>568.1</v>
      </c>
      <c r="J151" s="159">
        <v>149.5</v>
      </c>
      <c r="K151" s="160">
        <v>6.4661999999999997E-2</v>
      </c>
      <c r="L151" s="160">
        <v>0</v>
      </c>
      <c r="M151" s="161">
        <f t="shared" si="10"/>
        <v>8.4930949999999991E-2</v>
      </c>
      <c r="N151" s="161">
        <f t="shared" si="11"/>
        <v>2.0268949999999994E-2</v>
      </c>
      <c r="O151" s="121">
        <f t="shared" si="12"/>
        <v>0.23865210503355958</v>
      </c>
      <c r="P151" s="162">
        <f>IF(E151="Hardox 450",INDEX('Sac Parametreleri'!$G$11:$G$24,MATCH(F151,'Sac Parametreleri'!$A$11:$A$24,0)),INDEX('Sac Parametreleri'!$E$11:$E$24,MATCH(F151,'Sac Parametreleri'!$A$11:$A$24,0)))</f>
        <v>37.68</v>
      </c>
      <c r="Q151" s="162">
        <f>INDEX('Sac Parametreleri'!$F$11:$F$24,MATCH(F151,'Sac Parametreleri'!$A$11:$A$24,0))</f>
        <v>15.414545454545452</v>
      </c>
      <c r="R151" s="163">
        <f t="shared" si="13"/>
        <v>2.8877615449090905</v>
      </c>
      <c r="S151" s="163">
        <f t="shared" si="14"/>
        <v>2.8877615449090905</v>
      </c>
      <c r="T151" s="122">
        <f>K151*F151*'Sac Parametreleri'!$B$6*G151</f>
        <v>3.0455801999999998</v>
      </c>
      <c r="U151" s="122">
        <f>N151*F151*'Sac Parametreleri'!$B$6*G151</f>
        <v>0.95466754499999962</v>
      </c>
      <c r="V151" s="122">
        <f>M151*F151*'Sac Parametreleri'!$B$6*G151</f>
        <v>4.0002477449999994</v>
      </c>
      <c r="W151" s="118" t="s">
        <v>85</v>
      </c>
    </row>
    <row r="152" spans="1:23" ht="15" customHeight="1" x14ac:dyDescent="0.25">
      <c r="A152" s="118" t="s">
        <v>452</v>
      </c>
      <c r="B152" s="118">
        <v>6</v>
      </c>
      <c r="C152" s="118" t="s">
        <v>1653</v>
      </c>
      <c r="D152" s="118" t="s">
        <v>700</v>
      </c>
      <c r="E152" s="118" t="s">
        <v>1552</v>
      </c>
      <c r="F152" s="118">
        <v>6</v>
      </c>
      <c r="G152" s="118">
        <v>2</v>
      </c>
      <c r="H152" s="118" t="s">
        <v>1551</v>
      </c>
      <c r="I152" s="159">
        <v>112.4</v>
      </c>
      <c r="J152" s="159">
        <v>37.4</v>
      </c>
      <c r="K152" s="160">
        <v>2.0999999999999999E-3</v>
      </c>
      <c r="L152" s="160">
        <v>0</v>
      </c>
      <c r="M152" s="161">
        <f t="shared" si="10"/>
        <v>4.20376E-3</v>
      </c>
      <c r="N152" s="161">
        <f t="shared" si="11"/>
        <v>2.1037600000000001E-3</v>
      </c>
      <c r="O152" s="121">
        <f t="shared" si="12"/>
        <v>0.50044721868041941</v>
      </c>
      <c r="P152" s="162">
        <f>IF(E152="Hardox 450",INDEX('Sac Parametreleri'!$G$11:$G$24,MATCH(F152,'Sac Parametreleri'!$A$11:$A$24,0)),INDEX('Sac Parametreleri'!$E$11:$E$24,MATCH(F152,'Sac Parametreleri'!$A$11:$A$24,0)))</f>
        <v>37.68</v>
      </c>
      <c r="Q152" s="162">
        <f>INDEX('Sac Parametreleri'!$F$11:$F$24,MATCH(F152,'Sac Parametreleri'!$A$11:$A$24,0))</f>
        <v>15.414545454545452</v>
      </c>
      <c r="R152" s="163">
        <f t="shared" si="13"/>
        <v>0.12596917265454546</v>
      </c>
      <c r="S152" s="163">
        <f t="shared" si="14"/>
        <v>0.25193834530909093</v>
      </c>
      <c r="T152" s="122">
        <f>K152*F152*'Sac Parametreleri'!$B$6*G152</f>
        <v>0.19782</v>
      </c>
      <c r="U152" s="122">
        <f>N152*F152*'Sac Parametreleri'!$B$6*G152</f>
        <v>0.19817419200000003</v>
      </c>
      <c r="V152" s="122">
        <f>M152*F152*'Sac Parametreleri'!$B$6*G152</f>
        <v>0.39599419199999997</v>
      </c>
      <c r="W152" s="118" t="s">
        <v>85</v>
      </c>
    </row>
    <row r="153" spans="1:23" ht="15" customHeight="1" x14ac:dyDescent="0.25">
      <c r="A153" s="118" t="s">
        <v>452</v>
      </c>
      <c r="B153" s="118">
        <v>7</v>
      </c>
      <c r="C153" s="118" t="s">
        <v>1654</v>
      </c>
      <c r="D153" s="118" t="s">
        <v>700</v>
      </c>
      <c r="E153" s="118" t="s">
        <v>1552</v>
      </c>
      <c r="F153" s="118">
        <v>6</v>
      </c>
      <c r="G153" s="118">
        <v>1</v>
      </c>
      <c r="H153" s="118" t="s">
        <v>1551</v>
      </c>
      <c r="I153" s="159">
        <v>300</v>
      </c>
      <c r="J153" s="159">
        <v>48.7</v>
      </c>
      <c r="K153" s="160">
        <v>8.1399999999999997E-3</v>
      </c>
      <c r="L153" s="160">
        <v>0</v>
      </c>
      <c r="M153" s="161">
        <f t="shared" si="10"/>
        <v>1.461E-2</v>
      </c>
      <c r="N153" s="161">
        <f t="shared" si="11"/>
        <v>6.4700000000000001E-3</v>
      </c>
      <c r="O153" s="121">
        <f t="shared" si="12"/>
        <v>0.44284736481861742</v>
      </c>
      <c r="P153" s="162">
        <f>IF(E153="Hardox 450",INDEX('Sac Parametreleri'!$G$11:$G$24,MATCH(F153,'Sac Parametreleri'!$A$11:$A$24,0)),INDEX('Sac Parametreleri'!$E$11:$E$24,MATCH(F153,'Sac Parametreleri'!$A$11:$A$24,0)))</f>
        <v>37.68</v>
      </c>
      <c r="Q153" s="162">
        <f>INDEX('Sac Parametreleri'!$F$11:$F$24,MATCH(F153,'Sac Parametreleri'!$A$11:$A$24,0))</f>
        <v>15.414545454545452</v>
      </c>
      <c r="R153" s="163">
        <f t="shared" si="13"/>
        <v>0.45077269090909095</v>
      </c>
      <c r="S153" s="163">
        <f t="shared" si="14"/>
        <v>0.45077269090909095</v>
      </c>
      <c r="T153" s="122">
        <f>K153*F153*'Sac Parametreleri'!$B$6*G153</f>
        <v>0.38339399999999996</v>
      </c>
      <c r="U153" s="122">
        <f>N153*F153*'Sac Parametreleri'!$B$6*G153</f>
        <v>0.30473699999999998</v>
      </c>
      <c r="V153" s="122">
        <f>M153*F153*'Sac Parametreleri'!$B$6*G153</f>
        <v>0.68813099999999994</v>
      </c>
      <c r="W153" s="118" t="s">
        <v>85</v>
      </c>
    </row>
    <row r="154" spans="1:23" ht="15" customHeight="1" x14ac:dyDescent="0.25">
      <c r="A154" s="118" t="s">
        <v>597</v>
      </c>
      <c r="B154" s="118">
        <v>1</v>
      </c>
      <c r="C154" s="118" t="s">
        <v>1655</v>
      </c>
      <c r="D154" s="118" t="s">
        <v>700</v>
      </c>
      <c r="E154" s="118" t="s">
        <v>1552</v>
      </c>
      <c r="F154" s="118">
        <v>10</v>
      </c>
      <c r="G154" s="118">
        <v>1</v>
      </c>
      <c r="H154" s="118" t="s">
        <v>1551</v>
      </c>
      <c r="I154" s="159">
        <v>300</v>
      </c>
      <c r="J154" s="159">
        <v>200</v>
      </c>
      <c r="K154" s="160">
        <v>5.8749999999999997E-2</v>
      </c>
      <c r="L154" s="160">
        <v>1.2520000000000001E-3</v>
      </c>
      <c r="M154" s="161">
        <f t="shared" si="10"/>
        <v>0.06</v>
      </c>
      <c r="N154" s="161">
        <f t="shared" si="11"/>
        <v>1.2500000000000011E-3</v>
      </c>
      <c r="O154" s="121">
        <f t="shared" si="12"/>
        <v>2.0833333333333353E-2</v>
      </c>
      <c r="P154" s="162">
        <f>IF(E154="Hardox 450",INDEX('Sac Parametreleri'!$G$11:$G$24,MATCH(F154,'Sac Parametreleri'!$A$11:$A$24,0)),INDEX('Sac Parametreleri'!$E$11:$E$24,MATCH(F154,'Sac Parametreleri'!$A$11:$A$24,0)))</f>
        <v>62.800000000000004</v>
      </c>
      <c r="Q154" s="162">
        <f>INDEX('Sac Parametreleri'!$F$11:$F$24,MATCH(F154,'Sac Parametreleri'!$A$11:$A$24,0))</f>
        <v>25.690909090909091</v>
      </c>
      <c r="R154" s="163">
        <f t="shared" si="13"/>
        <v>3.7358863636363639</v>
      </c>
      <c r="S154" s="163">
        <f t="shared" si="14"/>
        <v>3.7358863636363639</v>
      </c>
      <c r="T154" s="122">
        <f>K154*F154*'Sac Parametreleri'!$B$6*G154</f>
        <v>4.6118749999999995</v>
      </c>
      <c r="U154" s="122">
        <f>N154*F154*'Sac Parametreleri'!$B$6*G154</f>
        <v>9.8125000000000087E-2</v>
      </c>
      <c r="V154" s="122">
        <f>M154*F154*'Sac Parametreleri'!$B$6*G154</f>
        <v>4.71</v>
      </c>
      <c r="W154" s="118" t="s">
        <v>85</v>
      </c>
    </row>
    <row r="155" spans="1:23" ht="15" customHeight="1" x14ac:dyDescent="0.25">
      <c r="A155" s="118" t="s">
        <v>597</v>
      </c>
      <c r="B155" s="118">
        <v>2</v>
      </c>
      <c r="C155" s="118" t="s">
        <v>1656</v>
      </c>
      <c r="D155" s="118" t="s">
        <v>700</v>
      </c>
      <c r="E155" s="118" t="s">
        <v>1552</v>
      </c>
      <c r="F155" s="118">
        <v>10</v>
      </c>
      <c r="G155" s="118">
        <v>2</v>
      </c>
      <c r="H155" s="118" t="s">
        <v>1551</v>
      </c>
      <c r="I155" s="159">
        <v>530</v>
      </c>
      <c r="J155" s="159">
        <v>80</v>
      </c>
      <c r="K155" s="160">
        <v>3.6441000000000001E-2</v>
      </c>
      <c r="L155" s="160">
        <v>0</v>
      </c>
      <c r="M155" s="161">
        <f t="shared" si="10"/>
        <v>4.24E-2</v>
      </c>
      <c r="N155" s="161">
        <f t="shared" si="11"/>
        <v>5.958999999999999E-3</v>
      </c>
      <c r="O155" s="121">
        <f t="shared" si="12"/>
        <v>0.14054245283018865</v>
      </c>
      <c r="P155" s="162">
        <f>IF(E155="Hardox 450",INDEX('Sac Parametreleri'!$G$11:$G$24,MATCH(F155,'Sac Parametreleri'!$A$11:$A$24,0)),INDEX('Sac Parametreleri'!$E$11:$E$24,MATCH(F155,'Sac Parametreleri'!$A$11:$A$24,0)))</f>
        <v>62.800000000000004</v>
      </c>
      <c r="Q155" s="162">
        <f>INDEX('Sac Parametreleri'!$F$11:$F$24,MATCH(F155,'Sac Parametreleri'!$A$11:$A$24,0))</f>
        <v>25.690909090909091</v>
      </c>
      <c r="R155" s="163">
        <f t="shared" si="13"/>
        <v>2.5096278727272727</v>
      </c>
      <c r="S155" s="163">
        <f t="shared" si="14"/>
        <v>5.0192557454545454</v>
      </c>
      <c r="T155" s="122">
        <f>K155*F155*'Sac Parametreleri'!$B$6*G155</f>
        <v>5.7212370000000004</v>
      </c>
      <c r="U155" s="122">
        <f>N155*F155*'Sac Parametreleri'!$B$6*G155</f>
        <v>0.93556299999999981</v>
      </c>
      <c r="V155" s="122">
        <f>M155*F155*'Sac Parametreleri'!$B$6*G155</f>
        <v>6.6567999999999996</v>
      </c>
      <c r="W155" s="118" t="s">
        <v>85</v>
      </c>
    </row>
    <row r="156" spans="1:23" ht="15" customHeight="1" x14ac:dyDescent="0.25">
      <c r="A156" s="118" t="s">
        <v>450</v>
      </c>
      <c r="B156" s="118">
        <v>1</v>
      </c>
      <c r="C156" s="118" t="s">
        <v>942</v>
      </c>
      <c r="D156" s="118" t="s">
        <v>943</v>
      </c>
      <c r="E156" s="118" t="s">
        <v>1552</v>
      </c>
      <c r="F156" s="118">
        <v>6</v>
      </c>
      <c r="G156" s="118">
        <v>1</v>
      </c>
      <c r="H156" s="118" t="s">
        <v>1553</v>
      </c>
      <c r="I156" s="159">
        <v>715.1</v>
      </c>
      <c r="J156" s="159">
        <v>175</v>
      </c>
      <c r="K156" s="160">
        <v>0.10637199999999999</v>
      </c>
      <c r="L156" s="160">
        <v>1.0349999999999999E-3</v>
      </c>
      <c r="M156" s="161">
        <f t="shared" si="10"/>
        <v>0.12514249999999999</v>
      </c>
      <c r="N156" s="161">
        <f t="shared" si="11"/>
        <v>1.8770499999999996E-2</v>
      </c>
      <c r="O156" s="121">
        <f t="shared" si="12"/>
        <v>0.14999300797091314</v>
      </c>
      <c r="P156" s="162">
        <f>IF(E156="Hardox 450",INDEX('Sac Parametreleri'!$G$11:$G$24,MATCH(F156,'Sac Parametreleri'!$A$11:$A$24,0)),INDEX('Sac Parametreleri'!$E$11:$E$24,MATCH(F156,'Sac Parametreleri'!$A$11:$A$24,0)))</f>
        <v>37.68</v>
      </c>
      <c r="Q156" s="162">
        <f>INDEX('Sac Parametreleri'!$F$11:$F$24,MATCH(F156,'Sac Parametreleri'!$A$11:$A$24,0))</f>
        <v>15.414545454545452</v>
      </c>
      <c r="R156" s="163">
        <f t="shared" si="13"/>
        <v>4.4260306745454541</v>
      </c>
      <c r="S156" s="163">
        <f t="shared" si="14"/>
        <v>4.4260306745454541</v>
      </c>
      <c r="T156" s="122">
        <f>K156*F156*'Sac Parametreleri'!$B$6*G156</f>
        <v>5.0101211999999995</v>
      </c>
      <c r="U156" s="122">
        <f>N156*F156*'Sac Parametreleri'!$B$6*G156</f>
        <v>0.8840905499999997</v>
      </c>
      <c r="V156" s="122">
        <f>M156*F156*'Sac Parametreleri'!$B$6*G156</f>
        <v>5.8942117499999993</v>
      </c>
      <c r="W156" s="118" t="s">
        <v>85</v>
      </c>
    </row>
    <row r="157" spans="1:23" ht="15" customHeight="1" x14ac:dyDescent="0.25">
      <c r="A157" s="118" t="s">
        <v>450</v>
      </c>
      <c r="B157" s="118">
        <v>2</v>
      </c>
      <c r="C157" s="118" t="s">
        <v>944</v>
      </c>
      <c r="D157" s="118" t="s">
        <v>945</v>
      </c>
      <c r="E157" s="118" t="s">
        <v>1552</v>
      </c>
      <c r="F157" s="118">
        <v>4</v>
      </c>
      <c r="G157" s="118">
        <v>1</v>
      </c>
      <c r="H157" s="118" t="s">
        <v>1554</v>
      </c>
      <c r="I157" s="159">
        <v>580</v>
      </c>
      <c r="J157" s="159">
        <v>177.1</v>
      </c>
      <c r="K157" s="160">
        <v>0.102702</v>
      </c>
      <c r="L157" s="160">
        <v>0</v>
      </c>
      <c r="M157" s="161">
        <f t="shared" si="10"/>
        <v>0.102718</v>
      </c>
      <c r="N157" s="161">
        <f t="shared" si="11"/>
        <v>1.6000000000002124E-5</v>
      </c>
      <c r="O157" s="121">
        <f t="shared" si="12"/>
        <v>1.557662727078226E-4</v>
      </c>
      <c r="P157" s="162">
        <f>IF(E157="Hardox 450",INDEX('Sac Parametreleri'!$G$11:$G$24,MATCH(F157,'Sac Parametreleri'!$A$11:$A$24,0)),INDEX('Sac Parametreleri'!$E$11:$E$24,MATCH(F157,'Sac Parametreleri'!$A$11:$A$24,0)))</f>
        <v>25.12</v>
      </c>
      <c r="Q157" s="162">
        <f>INDEX('Sac Parametreleri'!$F$11:$F$24,MATCH(F157,'Sac Parametreleri'!$A$11:$A$24,0))</f>
        <v>10.276363636363635</v>
      </c>
      <c r="R157" s="163">
        <f t="shared" si="13"/>
        <v>2.5801117381818184</v>
      </c>
      <c r="S157" s="163">
        <f t="shared" si="14"/>
        <v>2.5801117381818184</v>
      </c>
      <c r="T157" s="122">
        <f>K157*F157*'Sac Parametreleri'!$B$6*G157</f>
        <v>3.2248427999999998</v>
      </c>
      <c r="U157" s="122">
        <f>N157*F157*'Sac Parametreleri'!$B$6*G157</f>
        <v>5.0240000000006664E-4</v>
      </c>
      <c r="V157" s="122">
        <f>M157*F157*'Sac Parametreleri'!$B$6*G157</f>
        <v>3.2253452</v>
      </c>
      <c r="W157" s="118" t="s">
        <v>85</v>
      </c>
    </row>
    <row r="158" spans="1:23" ht="15" customHeight="1" x14ac:dyDescent="0.25">
      <c r="A158" s="118" t="s">
        <v>450</v>
      </c>
      <c r="B158" s="118">
        <v>3</v>
      </c>
      <c r="C158" s="118" t="s">
        <v>1657</v>
      </c>
      <c r="D158" s="118" t="s">
        <v>1658</v>
      </c>
      <c r="E158" s="118" t="s">
        <v>1552</v>
      </c>
      <c r="F158" s="118">
        <v>5</v>
      </c>
      <c r="G158" s="118">
        <v>1</v>
      </c>
      <c r="H158" s="118" t="s">
        <v>1551</v>
      </c>
      <c r="I158" s="159">
        <v>105</v>
      </c>
      <c r="J158" s="159">
        <v>40</v>
      </c>
      <c r="K158" s="160">
        <v>3.6410000000000001E-3</v>
      </c>
      <c r="L158" s="160">
        <v>0</v>
      </c>
      <c r="M158" s="161">
        <f t="shared" si="10"/>
        <v>4.1999999999999997E-3</v>
      </c>
      <c r="N158" s="161">
        <f t="shared" si="11"/>
        <v>5.589999999999996E-4</v>
      </c>
      <c r="O158" s="121">
        <f t="shared" si="12"/>
        <v>0.13309523809523802</v>
      </c>
      <c r="P158" s="162">
        <f>IF(E158="Hardox 450",INDEX('Sac Parametreleri'!$G$11:$G$24,MATCH(F158,'Sac Parametreleri'!$A$11:$A$24,0)),INDEX('Sac Parametreleri'!$E$11:$E$24,MATCH(F158,'Sac Parametreleri'!$A$11:$A$24,0)))</f>
        <v>31.400000000000002</v>
      </c>
      <c r="Q158" s="162">
        <f>INDEX('Sac Parametreleri'!$F$11:$F$24,MATCH(F158,'Sac Parametreleri'!$A$11:$A$24,0))</f>
        <v>12.845454545454546</v>
      </c>
      <c r="R158" s="163">
        <f t="shared" si="13"/>
        <v>0.12469939090909091</v>
      </c>
      <c r="S158" s="163">
        <f t="shared" si="14"/>
        <v>0.12469939090909091</v>
      </c>
      <c r="T158" s="122">
        <f>K158*F158*'Sac Parametreleri'!$B$6*G158</f>
        <v>0.14290924999999999</v>
      </c>
      <c r="U158" s="122">
        <f>N158*F158*'Sac Parametreleri'!$B$6*G158</f>
        <v>2.1940749999999985E-2</v>
      </c>
      <c r="V158" s="122">
        <f>M158*F158*'Sac Parametreleri'!$B$6*G158</f>
        <v>0.16484999999999997</v>
      </c>
      <c r="W158" s="118" t="s">
        <v>85</v>
      </c>
    </row>
    <row r="159" spans="1:23" ht="15" customHeight="1" x14ac:dyDescent="0.25">
      <c r="A159" s="118" t="s">
        <v>450</v>
      </c>
      <c r="B159" s="118">
        <v>4</v>
      </c>
      <c r="C159" s="118" t="s">
        <v>1659</v>
      </c>
      <c r="D159" s="118" t="s">
        <v>1660</v>
      </c>
      <c r="E159" s="118" t="s">
        <v>1552</v>
      </c>
      <c r="F159" s="118">
        <v>12</v>
      </c>
      <c r="G159" s="118">
        <v>1</v>
      </c>
      <c r="H159" s="118" t="s">
        <v>1551</v>
      </c>
      <c r="I159" s="159">
        <v>135</v>
      </c>
      <c r="J159" s="159">
        <v>120</v>
      </c>
      <c r="K159" s="160">
        <v>1.5203E-2</v>
      </c>
      <c r="L159" s="160">
        <v>9.01E-4</v>
      </c>
      <c r="M159" s="161">
        <f t="shared" si="10"/>
        <v>1.6199999999999999E-2</v>
      </c>
      <c r="N159" s="161">
        <f t="shared" si="11"/>
        <v>9.9699999999999962E-4</v>
      </c>
      <c r="O159" s="121">
        <f t="shared" si="12"/>
        <v>6.1543209876543187E-2</v>
      </c>
      <c r="P159" s="162">
        <f>IF(E159="Hardox 450",INDEX('Sac Parametreleri'!$G$11:$G$24,MATCH(F159,'Sac Parametreleri'!$A$11:$A$24,0)),INDEX('Sac Parametreleri'!$E$11:$E$24,MATCH(F159,'Sac Parametreleri'!$A$11:$A$24,0)))</f>
        <v>75.36</v>
      </c>
      <c r="Q159" s="162">
        <f>INDEX('Sac Parametreleri'!$F$11:$F$24,MATCH(F159,'Sac Parametreleri'!$A$11:$A$24,0))</f>
        <v>30.829090909090905</v>
      </c>
      <c r="R159" s="163">
        <f t="shared" si="13"/>
        <v>1.1900953963636363</v>
      </c>
      <c r="S159" s="163">
        <f t="shared" si="14"/>
        <v>1.1900953963636363</v>
      </c>
      <c r="T159" s="122">
        <f>K159*F159*'Sac Parametreleri'!$B$6*G159</f>
        <v>1.4321225999999998</v>
      </c>
      <c r="U159" s="122">
        <f>N159*F159*'Sac Parametreleri'!$B$6*G159</f>
        <v>9.3917399999999956E-2</v>
      </c>
      <c r="V159" s="122">
        <f>M159*F159*'Sac Parametreleri'!$B$6*G159</f>
        <v>1.5260399999999998</v>
      </c>
      <c r="W159" s="118" t="s">
        <v>85</v>
      </c>
    </row>
    <row r="160" spans="1:23" ht="15" customHeight="1" x14ac:dyDescent="0.25">
      <c r="A160" s="118" t="s">
        <v>450</v>
      </c>
      <c r="B160" s="118">
        <v>5</v>
      </c>
      <c r="C160" s="118" t="s">
        <v>1661</v>
      </c>
      <c r="D160" s="118" t="s">
        <v>1662</v>
      </c>
      <c r="E160" s="118" t="s">
        <v>1552</v>
      </c>
      <c r="F160" s="118">
        <v>3</v>
      </c>
      <c r="G160" s="118">
        <v>1</v>
      </c>
      <c r="H160" s="118" t="s">
        <v>1551</v>
      </c>
      <c r="I160" s="159">
        <v>58</v>
      </c>
      <c r="J160" s="159">
        <v>38</v>
      </c>
      <c r="K160" s="160">
        <v>2.1789999999999999E-3</v>
      </c>
      <c r="L160" s="160">
        <v>0</v>
      </c>
      <c r="M160" s="161">
        <f t="shared" si="10"/>
        <v>2.2039999999999998E-3</v>
      </c>
      <c r="N160" s="161">
        <f t="shared" si="11"/>
        <v>2.4999999999999849E-5</v>
      </c>
      <c r="O160" s="121">
        <f t="shared" si="12"/>
        <v>1.1343012704174161E-2</v>
      </c>
      <c r="P160" s="162">
        <f>IF(E160="Hardox 450",INDEX('Sac Parametreleri'!$G$11:$G$24,MATCH(F160,'Sac Parametreleri'!$A$11:$A$24,0)),INDEX('Sac Parametreleri'!$E$11:$E$24,MATCH(F160,'Sac Parametreleri'!$A$11:$A$24,0)))</f>
        <v>18.84</v>
      </c>
      <c r="Q160" s="162">
        <f>INDEX('Sac Parametreleri'!$F$11:$F$24,MATCH(F160,'Sac Parametreleri'!$A$11:$A$24,0))</f>
        <v>7.7072727272727262</v>
      </c>
      <c r="R160" s="163">
        <f t="shared" si="13"/>
        <v>4.1330678181818181E-2</v>
      </c>
      <c r="S160" s="163">
        <f t="shared" si="14"/>
        <v>4.1330678181818181E-2</v>
      </c>
      <c r="T160" s="122">
        <f>K160*F160*'Sac Parametreleri'!$B$6*G160</f>
        <v>5.1315449999999992E-2</v>
      </c>
      <c r="U160" s="122">
        <f>N160*F160*'Sac Parametreleri'!$B$6*G160</f>
        <v>5.8874999999999639E-4</v>
      </c>
      <c r="V160" s="122">
        <f>M160*F160*'Sac Parametreleri'!$B$6*G160</f>
        <v>5.1904199999999998E-2</v>
      </c>
      <c r="W160" s="118" t="s">
        <v>85</v>
      </c>
    </row>
    <row r="161" spans="1:24" ht="15" customHeight="1" x14ac:dyDescent="0.25">
      <c r="A161" s="118" t="s">
        <v>450</v>
      </c>
      <c r="B161" s="118">
        <v>6</v>
      </c>
      <c r="C161" s="118" t="s">
        <v>1663</v>
      </c>
      <c r="D161" s="118" t="s">
        <v>1664</v>
      </c>
      <c r="E161" s="118" t="s">
        <v>1552</v>
      </c>
      <c r="F161" s="118">
        <v>5</v>
      </c>
      <c r="G161" s="118">
        <v>2</v>
      </c>
      <c r="H161" s="118" t="s">
        <v>1551</v>
      </c>
      <c r="I161" s="159">
        <v>300</v>
      </c>
      <c r="J161" s="159">
        <v>222.5</v>
      </c>
      <c r="K161" s="160">
        <v>3.0245000000000001E-2</v>
      </c>
      <c r="L161" s="160">
        <v>0</v>
      </c>
      <c r="M161" s="161">
        <f t="shared" si="10"/>
        <v>6.6750000000000004E-2</v>
      </c>
      <c r="N161" s="161">
        <f t="shared" si="11"/>
        <v>3.6505000000000003E-2</v>
      </c>
      <c r="O161" s="121">
        <f t="shared" si="12"/>
        <v>0.54689138576779028</v>
      </c>
      <c r="P161" s="162">
        <f>IF(E161="Hardox 450",INDEX('Sac Parametreleri'!$G$11:$G$24,MATCH(F161,'Sac Parametreleri'!$A$11:$A$24,0)),INDEX('Sac Parametreleri'!$E$11:$E$24,MATCH(F161,'Sac Parametreleri'!$A$11:$A$24,0)))</f>
        <v>31.400000000000002</v>
      </c>
      <c r="Q161" s="162">
        <f>INDEX('Sac Parametreleri'!$F$11:$F$24,MATCH(F161,'Sac Parametreleri'!$A$11:$A$24,0))</f>
        <v>12.845454545454546</v>
      </c>
      <c r="R161" s="163">
        <f t="shared" si="13"/>
        <v>1.627026681818182</v>
      </c>
      <c r="S161" s="163">
        <f t="shared" si="14"/>
        <v>3.254053363636364</v>
      </c>
      <c r="T161" s="122">
        <f>K161*F161*'Sac Parametreleri'!$B$6*G161</f>
        <v>2.3742324999999997</v>
      </c>
      <c r="U161" s="122">
        <f>N161*F161*'Sac Parametreleri'!$B$6*G161</f>
        <v>2.8656425000000003</v>
      </c>
      <c r="V161" s="122">
        <f>M161*F161*'Sac Parametreleri'!$B$6*G161</f>
        <v>5.2398749999999996</v>
      </c>
      <c r="W161" s="118" t="s">
        <v>85</v>
      </c>
    </row>
    <row r="162" spans="1:24" ht="15" customHeight="1" x14ac:dyDescent="0.25">
      <c r="A162" s="118" t="s">
        <v>631</v>
      </c>
      <c r="B162" s="118">
        <v>1</v>
      </c>
      <c r="C162" s="118" t="s">
        <v>1665</v>
      </c>
      <c r="D162" s="118" t="s">
        <v>700</v>
      </c>
      <c r="E162" s="118" t="s">
        <v>1552</v>
      </c>
      <c r="F162" s="118">
        <v>15</v>
      </c>
      <c r="G162" s="118">
        <v>1</v>
      </c>
      <c r="H162" s="118" t="s">
        <v>1551</v>
      </c>
      <c r="I162" s="159">
        <v>678.1</v>
      </c>
      <c r="J162" s="159">
        <v>221.1</v>
      </c>
      <c r="K162" s="160">
        <v>7.0513999999999993E-2</v>
      </c>
      <c r="L162" s="160">
        <v>2.1029999999999998E-3</v>
      </c>
      <c r="M162" s="161">
        <f t="shared" si="10"/>
        <v>0.14992791</v>
      </c>
      <c r="N162" s="161">
        <f t="shared" si="11"/>
        <v>7.9413910000000004E-2</v>
      </c>
      <c r="O162" s="121">
        <f t="shared" si="12"/>
        <v>0.5296806311780109</v>
      </c>
      <c r="P162" s="162">
        <f>IF(E162="Hardox 450",INDEX('Sac Parametreleri'!$G$11:$G$24,MATCH(F162,'Sac Parametreleri'!$A$11:$A$24,0)),INDEX('Sac Parametreleri'!$E$11:$E$24,MATCH(F162,'Sac Parametreleri'!$A$11:$A$24,0)))</f>
        <v>94.2</v>
      </c>
      <c r="Q162" s="162">
        <f>INDEX('Sac Parametreleri'!$F$11:$F$24,MATCH(F162,'Sac Parametreleri'!$A$11:$A$24,0))</f>
        <v>38.536363636363639</v>
      </c>
      <c r="R162" s="163">
        <f t="shared" si="13"/>
        <v>11.062885808454546</v>
      </c>
      <c r="S162" s="163">
        <f t="shared" si="14"/>
        <v>11.062885808454546</v>
      </c>
      <c r="T162" s="122">
        <f>K162*F162*'Sac Parametreleri'!$B$6*G162</f>
        <v>8.3030234999999983</v>
      </c>
      <c r="U162" s="122">
        <f>N162*F162*'Sac Parametreleri'!$B$6*G162</f>
        <v>9.3509879025</v>
      </c>
      <c r="V162" s="122">
        <f>M162*F162*'Sac Parametreleri'!$B$6*G162</f>
        <v>17.654011402499997</v>
      </c>
      <c r="W162" s="118" t="s">
        <v>85</v>
      </c>
    </row>
    <row r="163" spans="1:24" ht="15" customHeight="1" x14ac:dyDescent="0.25">
      <c r="A163" s="118" t="s">
        <v>608</v>
      </c>
      <c r="B163" s="118">
        <v>1</v>
      </c>
      <c r="C163" s="118" t="s">
        <v>1666</v>
      </c>
      <c r="D163" s="118" t="s">
        <v>1667</v>
      </c>
      <c r="E163" s="118" t="s">
        <v>1552</v>
      </c>
      <c r="F163" s="118">
        <v>15</v>
      </c>
      <c r="G163" s="118">
        <v>1</v>
      </c>
      <c r="H163" s="118" t="s">
        <v>1551</v>
      </c>
      <c r="I163" s="159">
        <v>677.9</v>
      </c>
      <c r="J163" s="159">
        <v>269.89999999999998</v>
      </c>
      <c r="K163" s="160">
        <v>0.102585</v>
      </c>
      <c r="L163" s="160">
        <v>3.3500000000000001E-3</v>
      </c>
      <c r="M163" s="161">
        <f t="shared" si="10"/>
        <v>0.18296520999999999</v>
      </c>
      <c r="N163" s="161">
        <f t="shared" si="11"/>
        <v>8.0380209999999994E-2</v>
      </c>
      <c r="O163" s="121">
        <f t="shared" si="12"/>
        <v>0.43931963896305748</v>
      </c>
      <c r="P163" s="162">
        <f>IF(E163="Hardox 450",INDEX('Sac Parametreleri'!$G$11:$G$24,MATCH(F163,'Sac Parametreleri'!$A$11:$A$24,0)),INDEX('Sac Parametreleri'!$E$11:$E$24,MATCH(F163,'Sac Parametreleri'!$A$11:$A$24,0)))</f>
        <v>94.2</v>
      </c>
      <c r="Q163" s="162">
        <f>INDEX('Sac Parametreleri'!$F$11:$F$24,MATCH(F163,'Sac Parametreleri'!$A$11:$A$24,0))</f>
        <v>38.536363636363639</v>
      </c>
      <c r="R163" s="163">
        <f t="shared" si="13"/>
        <v>14.137761780272728</v>
      </c>
      <c r="S163" s="163">
        <f t="shared" si="14"/>
        <v>14.137761780272728</v>
      </c>
      <c r="T163" s="122">
        <f>K163*F163*'Sac Parametreleri'!$B$6*G163</f>
        <v>12.07938375</v>
      </c>
      <c r="U163" s="122">
        <f>N163*F163*'Sac Parametreleri'!$B$6*G163</f>
        <v>9.4647697274999985</v>
      </c>
      <c r="V163" s="122">
        <f>M163*F163*'Sac Parametreleri'!$B$6*G163</f>
        <v>21.5441534775</v>
      </c>
      <c r="W163" s="118" t="s">
        <v>85</v>
      </c>
    </row>
    <row r="164" spans="1:24" ht="15" customHeight="1" x14ac:dyDescent="0.25">
      <c r="A164" s="118" t="s">
        <v>492</v>
      </c>
      <c r="B164" s="118">
        <v>1</v>
      </c>
      <c r="C164" s="118" t="s">
        <v>1668</v>
      </c>
      <c r="D164" s="118" t="s">
        <v>700</v>
      </c>
      <c r="E164" s="118" t="s">
        <v>1552</v>
      </c>
      <c r="F164" s="118">
        <v>20</v>
      </c>
      <c r="G164" s="118">
        <v>1</v>
      </c>
      <c r="H164" s="118" t="s">
        <v>1551</v>
      </c>
      <c r="I164" s="159">
        <v>240</v>
      </c>
      <c r="J164" s="159">
        <v>106</v>
      </c>
      <c r="K164" s="160">
        <v>2.5440000000000001E-2</v>
      </c>
      <c r="L164" s="160">
        <v>0</v>
      </c>
      <c r="M164" s="161">
        <f t="shared" si="10"/>
        <v>2.5440000000000001E-2</v>
      </c>
      <c r="N164" s="161">
        <f t="shared" si="11"/>
        <v>0</v>
      </c>
      <c r="O164" s="121">
        <f t="shared" si="12"/>
        <v>0</v>
      </c>
      <c r="P164" s="162">
        <f>IF(E164="Hardox 450",INDEX('Sac Parametreleri'!$G$11:$G$24,MATCH(F164,'Sac Parametreleri'!$A$11:$A$24,0)),INDEX('Sac Parametreleri'!$E$11:$E$24,MATCH(F164,'Sac Parametreleri'!$A$11:$A$24,0)))</f>
        <v>125.60000000000001</v>
      </c>
      <c r="Q164" s="162">
        <f>INDEX('Sac Parametreleri'!$F$11:$F$24,MATCH(F164,'Sac Parametreleri'!$A$11:$A$24,0))</f>
        <v>51.381818181818183</v>
      </c>
      <c r="R164" s="163">
        <f t="shared" si="13"/>
        <v>3.1952640000000003</v>
      </c>
      <c r="S164" s="163">
        <f t="shared" si="14"/>
        <v>3.1952640000000003</v>
      </c>
      <c r="T164" s="122">
        <f>K164*F164*'Sac Parametreleri'!$B$6*G164</f>
        <v>3.9940799999999999</v>
      </c>
      <c r="U164" s="122">
        <f>N164*F164*'Sac Parametreleri'!$B$6*G164</f>
        <v>0</v>
      </c>
      <c r="V164" s="122">
        <f>M164*F164*'Sac Parametreleri'!$B$6*G164</f>
        <v>3.9940799999999999</v>
      </c>
      <c r="W164" s="118" t="s">
        <v>85</v>
      </c>
    </row>
    <row r="165" spans="1:24" ht="32.25" customHeight="1" x14ac:dyDescent="0.25">
      <c r="A165" s="125" t="s">
        <v>492</v>
      </c>
      <c r="B165" s="125">
        <v>2</v>
      </c>
      <c r="C165" s="125" t="s">
        <v>1669</v>
      </c>
      <c r="D165" s="125" t="s">
        <v>700</v>
      </c>
      <c r="E165" s="125" t="s">
        <v>1552</v>
      </c>
      <c r="F165" s="125">
        <v>20</v>
      </c>
      <c r="G165" s="125">
        <v>1</v>
      </c>
      <c r="H165" s="125" t="s">
        <v>1670</v>
      </c>
      <c r="I165" s="164">
        <v>197</v>
      </c>
      <c r="J165" s="164">
        <v>178</v>
      </c>
      <c r="K165" s="165">
        <v>3.4888000000000002E-2</v>
      </c>
      <c r="L165" s="165">
        <v>0</v>
      </c>
      <c r="M165" s="166">
        <f t="shared" si="10"/>
        <v>3.5066E-2</v>
      </c>
      <c r="N165" s="166">
        <f t="shared" si="11"/>
        <v>1.779999999999976E-4</v>
      </c>
      <c r="O165" s="128">
        <f t="shared" si="12"/>
        <v>5.0761421319796274E-3</v>
      </c>
      <c r="P165" s="167">
        <f>IF(E165="Hardox 450",INDEX('Sac Parametreleri'!$G$11:$G$24,MATCH(F165,'Sac Parametreleri'!$A$11:$A$24,0)),INDEX('Sac Parametreleri'!$E$11:$E$24,MATCH(F165,'Sac Parametreleri'!$A$11:$A$24,0)))</f>
        <v>125.60000000000001</v>
      </c>
      <c r="Q165" s="167">
        <f>INDEX('Sac Parametreleri'!$F$11:$F$24,MATCH(F165,'Sac Parametreleri'!$A$11:$A$24,0))</f>
        <v>51.381818181818183</v>
      </c>
      <c r="R165" s="168">
        <f t="shared" si="13"/>
        <v>4.3951436363636365</v>
      </c>
      <c r="S165" s="168">
        <f t="shared" si="14"/>
        <v>4.3951436363636365</v>
      </c>
      <c r="T165" s="129">
        <f>K165*F165*'Sac Parametreleri'!$B$6*G165</f>
        <v>5.4774159999999998</v>
      </c>
      <c r="U165" s="129">
        <f>N165*F165*'Sac Parametreleri'!$B$6*G165</f>
        <v>2.7945999999999624E-2</v>
      </c>
      <c r="V165" s="129">
        <f>M165*F165*'Sac Parametreleri'!$B$6*G165</f>
        <v>5.505361999999999</v>
      </c>
      <c r="W165" s="125" t="s">
        <v>85</v>
      </c>
      <c r="X165" s="169" t="s">
        <v>1671</v>
      </c>
    </row>
    <row r="166" spans="1:24" ht="15" customHeight="1" x14ac:dyDescent="0.25">
      <c r="A166" s="118" t="s">
        <v>492</v>
      </c>
      <c r="B166" s="118">
        <v>3</v>
      </c>
      <c r="C166" s="118" t="s">
        <v>1672</v>
      </c>
      <c r="D166" s="118" t="s">
        <v>700</v>
      </c>
      <c r="E166" s="118" t="s">
        <v>1552</v>
      </c>
      <c r="F166" s="118">
        <v>12</v>
      </c>
      <c r="G166" s="118">
        <v>2</v>
      </c>
      <c r="H166" s="118" t="s">
        <v>1551</v>
      </c>
      <c r="I166" s="159">
        <v>167</v>
      </c>
      <c r="J166" s="159">
        <v>86</v>
      </c>
      <c r="K166" s="160">
        <v>8.9440000000000006E-3</v>
      </c>
      <c r="L166" s="160">
        <v>0</v>
      </c>
      <c r="M166" s="161">
        <f t="shared" si="10"/>
        <v>1.4362E-2</v>
      </c>
      <c r="N166" s="161">
        <f t="shared" si="11"/>
        <v>5.4179999999999992E-3</v>
      </c>
      <c r="O166" s="121">
        <f t="shared" si="12"/>
        <v>0.3772455089820359</v>
      </c>
      <c r="P166" s="162">
        <f>IF(E166="Hardox 450",INDEX('Sac Parametreleri'!$G$11:$G$24,MATCH(F166,'Sac Parametreleri'!$A$11:$A$24,0)),INDEX('Sac Parametreleri'!$E$11:$E$24,MATCH(F166,'Sac Parametreleri'!$A$11:$A$24,0)))</f>
        <v>75.36</v>
      </c>
      <c r="Q166" s="162">
        <f>INDEX('Sac Parametreleri'!$F$11:$F$24,MATCH(F166,'Sac Parametreleri'!$A$11:$A$24,0))</f>
        <v>30.829090909090905</v>
      </c>
      <c r="R166" s="163">
        <f t="shared" si="13"/>
        <v>0.91528830545454554</v>
      </c>
      <c r="S166" s="163">
        <f t="shared" si="14"/>
        <v>1.8305766109090911</v>
      </c>
      <c r="T166" s="122">
        <f>K166*F166*'Sac Parametreleri'!$B$6*G166</f>
        <v>1.6850495999999999</v>
      </c>
      <c r="U166" s="122">
        <f>N166*F166*'Sac Parametreleri'!$B$6*G166</f>
        <v>1.0207511999999999</v>
      </c>
      <c r="V166" s="122">
        <f>M166*F166*'Sac Parametreleri'!$B$6*G166</f>
        <v>2.7058008</v>
      </c>
      <c r="W166" s="118" t="s">
        <v>85</v>
      </c>
    </row>
    <row r="167" spans="1:24" ht="15" customHeight="1" x14ac:dyDescent="0.25">
      <c r="A167" s="118" t="s">
        <v>448</v>
      </c>
      <c r="B167" s="118">
        <v>1</v>
      </c>
      <c r="C167" s="118" t="s">
        <v>972</v>
      </c>
      <c r="D167" s="118" t="s">
        <v>973</v>
      </c>
      <c r="E167" s="118" t="s">
        <v>1552</v>
      </c>
      <c r="F167" s="118">
        <v>6</v>
      </c>
      <c r="G167" s="118">
        <v>1</v>
      </c>
      <c r="H167" s="118" t="s">
        <v>1553</v>
      </c>
      <c r="I167" s="159">
        <v>685.1</v>
      </c>
      <c r="J167" s="159">
        <v>135</v>
      </c>
      <c r="K167" s="160">
        <v>7.9818E-2</v>
      </c>
      <c r="L167" s="160">
        <v>1.034E-3</v>
      </c>
      <c r="M167" s="161">
        <f t="shared" si="10"/>
        <v>9.2488500000000001E-2</v>
      </c>
      <c r="N167" s="161">
        <f t="shared" si="11"/>
        <v>1.2670500000000001E-2</v>
      </c>
      <c r="O167" s="121">
        <f t="shared" si="12"/>
        <v>0.13699541024019204</v>
      </c>
      <c r="P167" s="162">
        <f>IF(E167="Hardox 450",INDEX('Sac Parametreleri'!$G$11:$G$24,MATCH(F167,'Sac Parametreleri'!$A$11:$A$24,0)),INDEX('Sac Parametreleri'!$E$11:$E$24,MATCH(F167,'Sac Parametreleri'!$A$11:$A$24,0)))</f>
        <v>37.68</v>
      </c>
      <c r="Q167" s="162">
        <f>INDEX('Sac Parametreleri'!$F$11:$F$24,MATCH(F167,'Sac Parametreleri'!$A$11:$A$24,0))</f>
        <v>15.414545454545452</v>
      </c>
      <c r="R167" s="163">
        <f t="shared" si="13"/>
        <v>3.2896566818181818</v>
      </c>
      <c r="S167" s="163">
        <f t="shared" si="14"/>
        <v>3.2896566818181818</v>
      </c>
      <c r="T167" s="122">
        <f>K167*F167*'Sac Parametreleri'!$B$6*G167</f>
        <v>3.7594277999999997</v>
      </c>
      <c r="U167" s="122">
        <f>N167*F167*'Sac Parametreleri'!$B$6*G167</f>
        <v>0.59678055000000008</v>
      </c>
      <c r="V167" s="122">
        <f>M167*F167*'Sac Parametreleri'!$B$6*G167</f>
        <v>4.3562083500000002</v>
      </c>
      <c r="W167" s="118" t="s">
        <v>85</v>
      </c>
    </row>
    <row r="168" spans="1:24" ht="15" customHeight="1" x14ac:dyDescent="0.25">
      <c r="A168" s="118" t="s">
        <v>448</v>
      </c>
      <c r="B168" s="118">
        <v>2</v>
      </c>
      <c r="C168" s="118" t="s">
        <v>1657</v>
      </c>
      <c r="D168" s="118" t="s">
        <v>1658</v>
      </c>
      <c r="E168" s="118" t="s">
        <v>1552</v>
      </c>
      <c r="F168" s="118">
        <v>5</v>
      </c>
      <c r="G168" s="118">
        <v>1</v>
      </c>
      <c r="H168" s="118" t="s">
        <v>1551</v>
      </c>
      <c r="I168" s="159">
        <v>105</v>
      </c>
      <c r="J168" s="159">
        <v>40</v>
      </c>
      <c r="K168" s="160">
        <v>3.6410000000000001E-3</v>
      </c>
      <c r="L168" s="160">
        <v>0</v>
      </c>
      <c r="M168" s="161">
        <f t="shared" si="10"/>
        <v>4.1999999999999997E-3</v>
      </c>
      <c r="N168" s="161">
        <f t="shared" si="11"/>
        <v>5.589999999999996E-4</v>
      </c>
      <c r="O168" s="121">
        <f t="shared" si="12"/>
        <v>0.13309523809523802</v>
      </c>
      <c r="P168" s="162">
        <f>IF(E168="Hardox 450",INDEX('Sac Parametreleri'!$G$11:$G$24,MATCH(F168,'Sac Parametreleri'!$A$11:$A$24,0)),INDEX('Sac Parametreleri'!$E$11:$E$24,MATCH(F168,'Sac Parametreleri'!$A$11:$A$24,0)))</f>
        <v>31.400000000000002</v>
      </c>
      <c r="Q168" s="162">
        <f>INDEX('Sac Parametreleri'!$F$11:$F$24,MATCH(F168,'Sac Parametreleri'!$A$11:$A$24,0))</f>
        <v>12.845454545454546</v>
      </c>
      <c r="R168" s="163">
        <f t="shared" si="13"/>
        <v>0.12469939090909091</v>
      </c>
      <c r="S168" s="163">
        <f t="shared" si="14"/>
        <v>0.12469939090909091</v>
      </c>
      <c r="T168" s="122">
        <f>K168*F168*'Sac Parametreleri'!$B$6*G168</f>
        <v>0.14290924999999999</v>
      </c>
      <c r="U168" s="122">
        <f>N168*F168*'Sac Parametreleri'!$B$6*G168</f>
        <v>2.1940749999999985E-2</v>
      </c>
      <c r="V168" s="122">
        <f>M168*F168*'Sac Parametreleri'!$B$6*G168</f>
        <v>0.16484999999999997</v>
      </c>
      <c r="W168" s="118" t="s">
        <v>85</v>
      </c>
    </row>
    <row r="169" spans="1:24" ht="15" customHeight="1" x14ac:dyDescent="0.25">
      <c r="A169" s="118" t="s">
        <v>448</v>
      </c>
      <c r="B169" s="118">
        <v>3</v>
      </c>
      <c r="C169" s="118" t="s">
        <v>944</v>
      </c>
      <c r="D169" s="118" t="s">
        <v>945</v>
      </c>
      <c r="E169" s="118" t="s">
        <v>1552</v>
      </c>
      <c r="F169" s="118">
        <v>4</v>
      </c>
      <c r="G169" s="118">
        <v>1</v>
      </c>
      <c r="H169" s="118" t="s">
        <v>1554</v>
      </c>
      <c r="I169" s="159">
        <v>580</v>
      </c>
      <c r="J169" s="159">
        <v>177.1</v>
      </c>
      <c r="K169" s="160">
        <v>0.102702</v>
      </c>
      <c r="L169" s="160">
        <v>0</v>
      </c>
      <c r="M169" s="161">
        <f t="shared" si="10"/>
        <v>0.102718</v>
      </c>
      <c r="N169" s="161">
        <f t="shared" si="11"/>
        <v>1.6000000000002124E-5</v>
      </c>
      <c r="O169" s="121">
        <f t="shared" si="12"/>
        <v>1.557662727078226E-4</v>
      </c>
      <c r="P169" s="162">
        <f>IF(E169="Hardox 450",INDEX('Sac Parametreleri'!$G$11:$G$24,MATCH(F169,'Sac Parametreleri'!$A$11:$A$24,0)),INDEX('Sac Parametreleri'!$E$11:$E$24,MATCH(F169,'Sac Parametreleri'!$A$11:$A$24,0)))</f>
        <v>25.12</v>
      </c>
      <c r="Q169" s="162">
        <f>INDEX('Sac Parametreleri'!$F$11:$F$24,MATCH(F169,'Sac Parametreleri'!$A$11:$A$24,0))</f>
        <v>10.276363636363635</v>
      </c>
      <c r="R169" s="163">
        <f t="shared" si="13"/>
        <v>2.5801117381818184</v>
      </c>
      <c r="S169" s="163">
        <f t="shared" si="14"/>
        <v>2.5801117381818184</v>
      </c>
      <c r="T169" s="122">
        <f>K169*F169*'Sac Parametreleri'!$B$6*G169</f>
        <v>3.2248427999999998</v>
      </c>
      <c r="U169" s="122">
        <f>N169*F169*'Sac Parametreleri'!$B$6*G169</f>
        <v>5.0240000000006664E-4</v>
      </c>
      <c r="V169" s="122">
        <f>M169*F169*'Sac Parametreleri'!$B$6*G169</f>
        <v>3.2253452</v>
      </c>
      <c r="W169" s="118" t="s">
        <v>85</v>
      </c>
    </row>
    <row r="170" spans="1:24" ht="15" customHeight="1" x14ac:dyDescent="0.25">
      <c r="A170" s="118" t="s">
        <v>448</v>
      </c>
      <c r="B170" s="118">
        <v>4</v>
      </c>
      <c r="C170" s="118" t="s">
        <v>1659</v>
      </c>
      <c r="D170" s="118" t="s">
        <v>1660</v>
      </c>
      <c r="E170" s="118" t="s">
        <v>1552</v>
      </c>
      <c r="F170" s="118">
        <v>12</v>
      </c>
      <c r="G170" s="118">
        <v>1</v>
      </c>
      <c r="H170" s="118" t="s">
        <v>1551</v>
      </c>
      <c r="I170" s="159">
        <v>135</v>
      </c>
      <c r="J170" s="159">
        <v>120</v>
      </c>
      <c r="K170" s="160">
        <v>1.5203E-2</v>
      </c>
      <c r="L170" s="160">
        <v>9.01E-4</v>
      </c>
      <c r="M170" s="161">
        <f t="shared" si="10"/>
        <v>1.6199999999999999E-2</v>
      </c>
      <c r="N170" s="161">
        <f t="shared" si="11"/>
        <v>9.9699999999999962E-4</v>
      </c>
      <c r="O170" s="121">
        <f t="shared" si="12"/>
        <v>6.1543209876543187E-2</v>
      </c>
      <c r="P170" s="162">
        <f>IF(E170="Hardox 450",INDEX('Sac Parametreleri'!$G$11:$G$24,MATCH(F170,'Sac Parametreleri'!$A$11:$A$24,0)),INDEX('Sac Parametreleri'!$E$11:$E$24,MATCH(F170,'Sac Parametreleri'!$A$11:$A$24,0)))</f>
        <v>75.36</v>
      </c>
      <c r="Q170" s="162">
        <f>INDEX('Sac Parametreleri'!$F$11:$F$24,MATCH(F170,'Sac Parametreleri'!$A$11:$A$24,0))</f>
        <v>30.829090909090905</v>
      </c>
      <c r="R170" s="163">
        <f t="shared" si="13"/>
        <v>1.1900953963636363</v>
      </c>
      <c r="S170" s="163">
        <f t="shared" si="14"/>
        <v>1.1900953963636363</v>
      </c>
      <c r="T170" s="122">
        <f>K170*F170*'Sac Parametreleri'!$B$6*G170</f>
        <v>1.4321225999999998</v>
      </c>
      <c r="U170" s="122">
        <f>N170*F170*'Sac Parametreleri'!$B$6*G170</f>
        <v>9.3917399999999956E-2</v>
      </c>
      <c r="V170" s="122">
        <f>M170*F170*'Sac Parametreleri'!$B$6*G170</f>
        <v>1.5260399999999998</v>
      </c>
      <c r="W170" s="118" t="s">
        <v>85</v>
      </c>
    </row>
    <row r="171" spans="1:24" ht="15" customHeight="1" x14ac:dyDescent="0.25">
      <c r="A171" s="118" t="s">
        <v>448</v>
      </c>
      <c r="B171" s="118">
        <v>5</v>
      </c>
      <c r="C171" s="118" t="s">
        <v>1661</v>
      </c>
      <c r="D171" s="118" t="s">
        <v>1662</v>
      </c>
      <c r="E171" s="118" t="s">
        <v>1552</v>
      </c>
      <c r="F171" s="118">
        <v>3</v>
      </c>
      <c r="G171" s="118">
        <v>1</v>
      </c>
      <c r="H171" s="118" t="s">
        <v>1551</v>
      </c>
      <c r="I171" s="159">
        <v>58</v>
      </c>
      <c r="J171" s="159">
        <v>38</v>
      </c>
      <c r="K171" s="160">
        <v>2.1789999999999999E-3</v>
      </c>
      <c r="L171" s="160">
        <v>0</v>
      </c>
      <c r="M171" s="161">
        <f t="shared" si="10"/>
        <v>2.2039999999999998E-3</v>
      </c>
      <c r="N171" s="161">
        <f t="shared" si="11"/>
        <v>2.4999999999999849E-5</v>
      </c>
      <c r="O171" s="121">
        <f t="shared" si="12"/>
        <v>1.1343012704174161E-2</v>
      </c>
      <c r="P171" s="162">
        <f>IF(E171="Hardox 450",INDEX('Sac Parametreleri'!$G$11:$G$24,MATCH(F171,'Sac Parametreleri'!$A$11:$A$24,0)),INDEX('Sac Parametreleri'!$E$11:$E$24,MATCH(F171,'Sac Parametreleri'!$A$11:$A$24,0)))</f>
        <v>18.84</v>
      </c>
      <c r="Q171" s="162">
        <f>INDEX('Sac Parametreleri'!$F$11:$F$24,MATCH(F171,'Sac Parametreleri'!$A$11:$A$24,0))</f>
        <v>7.7072727272727262</v>
      </c>
      <c r="R171" s="163">
        <f t="shared" si="13"/>
        <v>4.1330678181818181E-2</v>
      </c>
      <c r="S171" s="163">
        <f t="shared" si="14"/>
        <v>4.1330678181818181E-2</v>
      </c>
      <c r="T171" s="122">
        <f>K171*F171*'Sac Parametreleri'!$B$6*G171</f>
        <v>5.1315449999999992E-2</v>
      </c>
      <c r="U171" s="122">
        <f>N171*F171*'Sac Parametreleri'!$B$6*G171</f>
        <v>5.8874999999999639E-4</v>
      </c>
      <c r="V171" s="122">
        <f>M171*F171*'Sac Parametreleri'!$B$6*G171</f>
        <v>5.1904199999999998E-2</v>
      </c>
      <c r="W171" s="118" t="s">
        <v>85</v>
      </c>
    </row>
    <row r="172" spans="1:24" ht="15" customHeight="1" x14ac:dyDescent="0.25">
      <c r="A172" s="118" t="s">
        <v>448</v>
      </c>
      <c r="B172" s="118">
        <v>6</v>
      </c>
      <c r="C172" s="118" t="s">
        <v>1663</v>
      </c>
      <c r="D172" s="118" t="s">
        <v>1664</v>
      </c>
      <c r="E172" s="118" t="s">
        <v>1552</v>
      </c>
      <c r="F172" s="118">
        <v>5</v>
      </c>
      <c r="G172" s="118">
        <v>2</v>
      </c>
      <c r="H172" s="118" t="s">
        <v>1551</v>
      </c>
      <c r="I172" s="159">
        <v>300</v>
      </c>
      <c r="J172" s="159">
        <v>222.5</v>
      </c>
      <c r="K172" s="160">
        <v>3.0245000000000001E-2</v>
      </c>
      <c r="L172" s="160">
        <v>0</v>
      </c>
      <c r="M172" s="161">
        <f t="shared" si="10"/>
        <v>6.6750000000000004E-2</v>
      </c>
      <c r="N172" s="161">
        <f t="shared" si="11"/>
        <v>3.6505000000000003E-2</v>
      </c>
      <c r="O172" s="121">
        <f t="shared" si="12"/>
        <v>0.54689138576779028</v>
      </c>
      <c r="P172" s="162">
        <f>IF(E172="Hardox 450",INDEX('Sac Parametreleri'!$G$11:$G$24,MATCH(F172,'Sac Parametreleri'!$A$11:$A$24,0)),INDEX('Sac Parametreleri'!$E$11:$E$24,MATCH(F172,'Sac Parametreleri'!$A$11:$A$24,0)))</f>
        <v>31.400000000000002</v>
      </c>
      <c r="Q172" s="162">
        <f>INDEX('Sac Parametreleri'!$F$11:$F$24,MATCH(F172,'Sac Parametreleri'!$A$11:$A$24,0))</f>
        <v>12.845454545454546</v>
      </c>
      <c r="R172" s="163">
        <f t="shared" si="13"/>
        <v>1.627026681818182</v>
      </c>
      <c r="S172" s="163">
        <f t="shared" si="14"/>
        <v>3.254053363636364</v>
      </c>
      <c r="T172" s="122">
        <f>K172*F172*'Sac Parametreleri'!$B$6*G172</f>
        <v>2.3742324999999997</v>
      </c>
      <c r="U172" s="122">
        <f>N172*F172*'Sac Parametreleri'!$B$6*G172</f>
        <v>2.8656425000000003</v>
      </c>
      <c r="V172" s="122">
        <f>M172*F172*'Sac Parametreleri'!$B$6*G172</f>
        <v>5.2398749999999996</v>
      </c>
      <c r="W172" s="118" t="s">
        <v>85</v>
      </c>
    </row>
    <row r="173" spans="1:24" ht="15" customHeight="1" x14ac:dyDescent="0.25">
      <c r="A173" s="118" t="s">
        <v>479</v>
      </c>
      <c r="B173" s="118">
        <v>1</v>
      </c>
      <c r="C173" s="118" t="s">
        <v>739</v>
      </c>
      <c r="D173" s="118" t="s">
        <v>740</v>
      </c>
      <c r="E173" s="118" t="s">
        <v>1552</v>
      </c>
      <c r="F173" s="118">
        <v>6</v>
      </c>
      <c r="G173" s="118">
        <v>1</v>
      </c>
      <c r="H173" s="118" t="s">
        <v>1560</v>
      </c>
      <c r="I173" s="159">
        <v>447.4</v>
      </c>
      <c r="J173" s="159">
        <v>447</v>
      </c>
      <c r="K173" s="160">
        <v>0.14516599999999999</v>
      </c>
      <c r="L173" s="160">
        <v>3.555E-3</v>
      </c>
      <c r="M173" s="161">
        <f t="shared" si="10"/>
        <v>0.19998779999999999</v>
      </c>
      <c r="N173" s="161">
        <f t="shared" si="11"/>
        <v>5.4821800000000004E-2</v>
      </c>
      <c r="O173" s="121">
        <f t="shared" si="12"/>
        <v>0.27412572166902183</v>
      </c>
      <c r="P173" s="162">
        <f>IF(E173="Hardox 450",INDEX('Sac Parametreleri'!$G$11:$G$24,MATCH(F173,'Sac Parametreleri'!$A$11:$A$24,0)),INDEX('Sac Parametreleri'!$E$11:$E$24,MATCH(F173,'Sac Parametreleri'!$A$11:$A$24,0)))</f>
        <v>37.68</v>
      </c>
      <c r="Q173" s="162">
        <f>INDEX('Sac Parametreleri'!$F$11:$F$24,MATCH(F173,'Sac Parametreleri'!$A$11:$A$24,0))</f>
        <v>15.414545454545452</v>
      </c>
      <c r="R173" s="163">
        <f t="shared" si="13"/>
        <v>6.6904871759999995</v>
      </c>
      <c r="S173" s="163">
        <f t="shared" si="14"/>
        <v>6.6904871759999995</v>
      </c>
      <c r="T173" s="122">
        <f>K173*F173*'Sac Parametreleri'!$B$6*G173</f>
        <v>6.8373185999999988</v>
      </c>
      <c r="U173" s="122">
        <f>N173*F173*'Sac Parametreleri'!$B$6*G173</f>
        <v>2.5821067800000002</v>
      </c>
      <c r="V173" s="122">
        <f>M173*F173*'Sac Parametreleri'!$B$6*G173</f>
        <v>9.4194253799999998</v>
      </c>
      <c r="W173" s="118" t="s">
        <v>85</v>
      </c>
    </row>
    <row r="174" spans="1:24" ht="15" customHeight="1" x14ac:dyDescent="0.25">
      <c r="A174" s="118" t="s">
        <v>479</v>
      </c>
      <c r="B174" s="118">
        <v>2</v>
      </c>
      <c r="C174" s="118" t="s">
        <v>1673</v>
      </c>
      <c r="D174" s="118" t="s">
        <v>1674</v>
      </c>
      <c r="E174" s="118" t="s">
        <v>1552</v>
      </c>
      <c r="F174" s="118">
        <v>6</v>
      </c>
      <c r="G174" s="118">
        <v>2</v>
      </c>
      <c r="H174" s="118" t="s">
        <v>1551</v>
      </c>
      <c r="I174" s="159">
        <v>128</v>
      </c>
      <c r="J174" s="159">
        <v>94</v>
      </c>
      <c r="K174" s="160">
        <v>1.201E-2</v>
      </c>
      <c r="L174" s="160">
        <v>0</v>
      </c>
      <c r="M174" s="161">
        <f t="shared" si="10"/>
        <v>1.2031999999999999E-2</v>
      </c>
      <c r="N174" s="161">
        <f t="shared" si="11"/>
        <v>2.1999999999999451E-5</v>
      </c>
      <c r="O174" s="121">
        <f t="shared" si="12"/>
        <v>1.8284574468084651E-3</v>
      </c>
      <c r="P174" s="162">
        <f>IF(E174="Hardox 450",INDEX('Sac Parametreleri'!$G$11:$G$24,MATCH(F174,'Sac Parametreleri'!$A$11:$A$24,0)),INDEX('Sac Parametreleri'!$E$11:$E$24,MATCH(F174,'Sac Parametreleri'!$A$11:$A$24,0)))</f>
        <v>37.68</v>
      </c>
      <c r="Q174" s="162">
        <f>INDEX('Sac Parametreleri'!$F$11:$F$24,MATCH(F174,'Sac Parametreleri'!$A$11:$A$24,0))</f>
        <v>15.414545454545452</v>
      </c>
      <c r="R174" s="163">
        <f t="shared" si="13"/>
        <v>0.45302663999999998</v>
      </c>
      <c r="S174" s="163">
        <f t="shared" si="14"/>
        <v>0.90605327999999996</v>
      </c>
      <c r="T174" s="122">
        <f>K174*F174*'Sac Parametreleri'!$B$6*G174</f>
        <v>1.1313419999999998</v>
      </c>
      <c r="U174" s="122">
        <f>N174*F174*'Sac Parametreleri'!$B$6*G174</f>
        <v>2.0723999999999482E-3</v>
      </c>
      <c r="V174" s="122">
        <f>M174*F174*'Sac Parametreleri'!$B$6*G174</f>
        <v>1.1334143999999999</v>
      </c>
      <c r="W174" s="118" t="s">
        <v>85</v>
      </c>
    </row>
    <row r="175" spans="1:24" ht="15" customHeight="1" x14ac:dyDescent="0.25">
      <c r="A175" s="118" t="s">
        <v>479</v>
      </c>
      <c r="B175" s="118">
        <v>3</v>
      </c>
      <c r="C175" s="118" t="s">
        <v>1675</v>
      </c>
      <c r="D175" s="118" t="s">
        <v>1676</v>
      </c>
      <c r="E175" s="118" t="s">
        <v>1552</v>
      </c>
      <c r="F175" s="118">
        <v>6</v>
      </c>
      <c r="G175" s="118">
        <v>1</v>
      </c>
      <c r="H175" s="118" t="s">
        <v>1551</v>
      </c>
      <c r="I175" s="159">
        <v>154</v>
      </c>
      <c r="J175" s="159">
        <v>128</v>
      </c>
      <c r="K175" s="160">
        <v>1.5609E-2</v>
      </c>
      <c r="L175" s="160">
        <v>4.0990000000000002E-3</v>
      </c>
      <c r="M175" s="161">
        <f t="shared" si="10"/>
        <v>1.9712E-2</v>
      </c>
      <c r="N175" s="161">
        <f t="shared" si="11"/>
        <v>4.1030000000000007E-3</v>
      </c>
      <c r="O175" s="121">
        <f t="shared" si="12"/>
        <v>0.20814732142857145</v>
      </c>
      <c r="P175" s="162">
        <f>IF(E175="Hardox 450",INDEX('Sac Parametreleri'!$G$11:$G$24,MATCH(F175,'Sac Parametreleri'!$A$11:$A$24,0)),INDEX('Sac Parametreleri'!$E$11:$E$24,MATCH(F175,'Sac Parametreleri'!$A$11:$A$24,0)))</f>
        <v>37.68</v>
      </c>
      <c r="Q175" s="162">
        <f>INDEX('Sac Parametreleri'!$F$11:$F$24,MATCH(F175,'Sac Parametreleri'!$A$11:$A$24,0))</f>
        <v>15.414545454545452</v>
      </c>
      <c r="R175" s="163">
        <f t="shared" si="13"/>
        <v>0.67950228000000001</v>
      </c>
      <c r="S175" s="163">
        <f t="shared" si="14"/>
        <v>0.67950228000000001</v>
      </c>
      <c r="T175" s="122">
        <f>K175*F175*'Sac Parametreleri'!$B$6*G175</f>
        <v>0.7351839</v>
      </c>
      <c r="U175" s="122">
        <f>N175*F175*'Sac Parametreleri'!$B$6*G175</f>
        <v>0.19325130000000001</v>
      </c>
      <c r="V175" s="122">
        <f>M175*F175*'Sac Parametreleri'!$B$6*G175</f>
        <v>0.92843520000000002</v>
      </c>
      <c r="W175" s="118" t="s">
        <v>85</v>
      </c>
    </row>
    <row r="176" spans="1:24" ht="15" customHeight="1" x14ac:dyDescent="0.25">
      <c r="A176" s="118" t="s">
        <v>497</v>
      </c>
      <c r="B176" s="118">
        <v>1</v>
      </c>
      <c r="C176" s="118" t="s">
        <v>735</v>
      </c>
      <c r="D176" s="118" t="s">
        <v>736</v>
      </c>
      <c r="E176" s="118" t="s">
        <v>1552</v>
      </c>
      <c r="F176" s="118">
        <v>6</v>
      </c>
      <c r="G176" s="118">
        <v>1</v>
      </c>
      <c r="H176" s="118" t="s">
        <v>1553</v>
      </c>
      <c r="I176" s="159">
        <v>957.2</v>
      </c>
      <c r="J176" s="159">
        <v>463.7</v>
      </c>
      <c r="K176" s="160">
        <v>0.13194400000000001</v>
      </c>
      <c r="L176" s="160">
        <v>2.0730000000000002E-3</v>
      </c>
      <c r="M176" s="161">
        <f t="shared" si="10"/>
        <v>0.44385363999999999</v>
      </c>
      <c r="N176" s="161">
        <f t="shared" si="11"/>
        <v>0.31190963999999999</v>
      </c>
      <c r="O176" s="121">
        <f t="shared" si="12"/>
        <v>0.70273083712910411</v>
      </c>
      <c r="P176" s="162">
        <f>IF(E176="Hardox 450",INDEX('Sac Parametreleri'!$G$11:$G$24,MATCH(F176,'Sac Parametreleri'!$A$11:$A$24,0)),INDEX('Sac Parametreleri'!$E$11:$E$24,MATCH(F176,'Sac Parametreleri'!$A$11:$A$24,0)))</f>
        <v>37.68</v>
      </c>
      <c r="Q176" s="162">
        <f>INDEX('Sac Parametreleri'!$F$11:$F$24,MATCH(F176,'Sac Parametreleri'!$A$11:$A$24,0))</f>
        <v>15.414545454545452</v>
      </c>
      <c r="R176" s="163">
        <f t="shared" si="13"/>
        <v>11.916459831709091</v>
      </c>
      <c r="S176" s="163">
        <f t="shared" si="14"/>
        <v>11.916459831709091</v>
      </c>
      <c r="T176" s="122">
        <f>K176*F176*'Sac Parametreleri'!$B$6*G176</f>
        <v>6.2145624000000002</v>
      </c>
      <c r="U176" s="122">
        <f>N176*F176*'Sac Parametreleri'!$B$6*G176</f>
        <v>14.690944043999998</v>
      </c>
      <c r="V176" s="122">
        <f>M176*F176*'Sac Parametreleri'!$B$6*G176</f>
        <v>20.905506444</v>
      </c>
      <c r="W176" s="118" t="s">
        <v>85</v>
      </c>
    </row>
    <row r="177" spans="1:23" ht="15" customHeight="1" x14ac:dyDescent="0.25">
      <c r="A177" s="118" t="s">
        <v>497</v>
      </c>
      <c r="B177" s="118">
        <v>2</v>
      </c>
      <c r="C177" s="118" t="s">
        <v>1677</v>
      </c>
      <c r="D177" s="118" t="s">
        <v>1678</v>
      </c>
      <c r="E177" s="118" t="s">
        <v>1552</v>
      </c>
      <c r="F177" s="118">
        <v>10</v>
      </c>
      <c r="G177" s="118">
        <v>1</v>
      </c>
      <c r="H177" s="118" t="s">
        <v>1551</v>
      </c>
      <c r="I177" s="159">
        <v>279.39999999999998</v>
      </c>
      <c r="J177" s="159">
        <v>80</v>
      </c>
      <c r="K177" s="160">
        <v>1.7044E-2</v>
      </c>
      <c r="L177" s="160">
        <v>0</v>
      </c>
      <c r="M177" s="161">
        <f t="shared" si="10"/>
        <v>2.2352E-2</v>
      </c>
      <c r="N177" s="161">
        <f t="shared" si="11"/>
        <v>5.3080000000000002E-3</v>
      </c>
      <c r="O177" s="121">
        <f t="shared" si="12"/>
        <v>0.23747315676449535</v>
      </c>
      <c r="P177" s="162">
        <f>IF(E177="Hardox 450",INDEX('Sac Parametreleri'!$G$11:$G$24,MATCH(F177,'Sac Parametreleri'!$A$11:$A$24,0)),INDEX('Sac Parametreleri'!$E$11:$E$24,MATCH(F177,'Sac Parametreleri'!$A$11:$A$24,0)))</f>
        <v>62.800000000000004</v>
      </c>
      <c r="Q177" s="162">
        <f>INDEX('Sac Parametreleri'!$F$11:$F$24,MATCH(F177,'Sac Parametreleri'!$A$11:$A$24,0))</f>
        <v>25.690909090909091</v>
      </c>
      <c r="R177" s="163">
        <f t="shared" si="13"/>
        <v>1.2673382545454546</v>
      </c>
      <c r="S177" s="163">
        <f t="shared" si="14"/>
        <v>1.2673382545454546</v>
      </c>
      <c r="T177" s="122">
        <f>K177*F177*'Sac Parametreleri'!$B$6*G177</f>
        <v>1.3379540000000001</v>
      </c>
      <c r="U177" s="122">
        <f>N177*F177*'Sac Parametreleri'!$B$6*G177</f>
        <v>0.41667799999999999</v>
      </c>
      <c r="V177" s="122">
        <f>M177*F177*'Sac Parametreleri'!$B$6*G177</f>
        <v>1.754632</v>
      </c>
      <c r="W177" s="118" t="s">
        <v>85</v>
      </c>
    </row>
    <row r="178" spans="1:23" ht="15" customHeight="1" x14ac:dyDescent="0.25">
      <c r="A178" s="118" t="s">
        <v>497</v>
      </c>
      <c r="B178" s="118">
        <v>3</v>
      </c>
      <c r="C178" s="118" t="s">
        <v>1679</v>
      </c>
      <c r="D178" s="118" t="s">
        <v>1680</v>
      </c>
      <c r="E178" s="118" t="s">
        <v>1552</v>
      </c>
      <c r="F178" s="118">
        <v>8</v>
      </c>
      <c r="G178" s="118">
        <v>1</v>
      </c>
      <c r="H178" s="118" t="s">
        <v>1551</v>
      </c>
      <c r="I178" s="159">
        <v>457</v>
      </c>
      <c r="J178" s="159">
        <v>80</v>
      </c>
      <c r="K178" s="160">
        <v>2.7654000000000001E-2</v>
      </c>
      <c r="L178" s="160">
        <v>0</v>
      </c>
      <c r="M178" s="161">
        <f t="shared" si="10"/>
        <v>3.6560000000000002E-2</v>
      </c>
      <c r="N178" s="161">
        <f t="shared" si="11"/>
        <v>8.9060000000000007E-3</v>
      </c>
      <c r="O178" s="121">
        <f t="shared" si="12"/>
        <v>0.24359956236323851</v>
      </c>
      <c r="P178" s="162">
        <f>IF(E178="Hardox 450",INDEX('Sac Parametreleri'!$G$11:$G$24,MATCH(F178,'Sac Parametreleri'!$A$11:$A$24,0)),INDEX('Sac Parametreleri'!$E$11:$E$24,MATCH(F178,'Sac Parametreleri'!$A$11:$A$24,0)))</f>
        <v>50.24</v>
      </c>
      <c r="Q178" s="162">
        <f>INDEX('Sac Parametreleri'!$F$11:$F$24,MATCH(F178,'Sac Parametreleri'!$A$11:$A$24,0))</f>
        <v>20.552727272727271</v>
      </c>
      <c r="R178" s="163">
        <f t="shared" si="13"/>
        <v>1.653731810909091</v>
      </c>
      <c r="S178" s="163">
        <f t="shared" si="14"/>
        <v>1.653731810909091</v>
      </c>
      <c r="T178" s="122">
        <f>K178*F178*'Sac Parametreleri'!$B$6*G178</f>
        <v>1.7366712</v>
      </c>
      <c r="U178" s="122">
        <f>N178*F178*'Sac Parametreleri'!$B$6*G178</f>
        <v>0.55929680000000004</v>
      </c>
      <c r="V178" s="122">
        <f>M178*F178*'Sac Parametreleri'!$B$6*G178</f>
        <v>2.2959680000000002</v>
      </c>
      <c r="W178" s="118" t="s">
        <v>85</v>
      </c>
    </row>
    <row r="179" spans="1:23" ht="15" customHeight="1" x14ac:dyDescent="0.25">
      <c r="A179" s="118" t="s">
        <v>497</v>
      </c>
      <c r="B179" s="118">
        <v>4</v>
      </c>
      <c r="C179" s="118" t="s">
        <v>1681</v>
      </c>
      <c r="D179" s="118" t="s">
        <v>1682</v>
      </c>
      <c r="E179" s="118" t="s">
        <v>1552</v>
      </c>
      <c r="F179" s="118">
        <v>10</v>
      </c>
      <c r="G179" s="118">
        <v>1</v>
      </c>
      <c r="H179" s="118" t="s">
        <v>1551</v>
      </c>
      <c r="I179" s="159">
        <v>280</v>
      </c>
      <c r="J179" s="159">
        <v>40</v>
      </c>
      <c r="K179" s="160">
        <v>1.12E-2</v>
      </c>
      <c r="L179" s="160">
        <v>0</v>
      </c>
      <c r="M179" s="161">
        <f t="shared" si="10"/>
        <v>1.12E-2</v>
      </c>
      <c r="N179" s="161">
        <f t="shared" si="11"/>
        <v>0</v>
      </c>
      <c r="O179" s="121">
        <f t="shared" si="12"/>
        <v>0</v>
      </c>
      <c r="P179" s="162">
        <f>IF(E179="Hardox 450",INDEX('Sac Parametreleri'!$G$11:$G$24,MATCH(F179,'Sac Parametreleri'!$A$11:$A$24,0)),INDEX('Sac Parametreleri'!$E$11:$E$24,MATCH(F179,'Sac Parametreleri'!$A$11:$A$24,0)))</f>
        <v>62.800000000000004</v>
      </c>
      <c r="Q179" s="162">
        <f>INDEX('Sac Parametreleri'!$F$11:$F$24,MATCH(F179,'Sac Parametreleri'!$A$11:$A$24,0))</f>
        <v>25.690909090909091</v>
      </c>
      <c r="R179" s="163">
        <f t="shared" si="13"/>
        <v>0.70335999999999999</v>
      </c>
      <c r="S179" s="163">
        <f t="shared" si="14"/>
        <v>0.70335999999999999</v>
      </c>
      <c r="T179" s="122">
        <f>K179*F179*'Sac Parametreleri'!$B$6*G179</f>
        <v>0.87919999999999998</v>
      </c>
      <c r="U179" s="122">
        <f>N179*F179*'Sac Parametreleri'!$B$6*G179</f>
        <v>0</v>
      </c>
      <c r="V179" s="122">
        <f>M179*F179*'Sac Parametreleri'!$B$6*G179</f>
        <v>0.87919999999999998</v>
      </c>
      <c r="W179" s="118" t="s">
        <v>85</v>
      </c>
    </row>
    <row r="180" spans="1:23" ht="15" customHeight="1" x14ac:dyDescent="0.25">
      <c r="A180" s="118" t="s">
        <v>511</v>
      </c>
      <c r="B180" s="118">
        <v>1</v>
      </c>
      <c r="C180" s="118" t="s">
        <v>1006</v>
      </c>
      <c r="D180" s="118" t="s">
        <v>1007</v>
      </c>
      <c r="E180" s="118" t="s">
        <v>1552</v>
      </c>
      <c r="F180" s="118">
        <v>8</v>
      </c>
      <c r="G180" s="118">
        <v>1</v>
      </c>
      <c r="H180" s="118" t="s">
        <v>1683</v>
      </c>
      <c r="I180" s="159">
        <v>718.6</v>
      </c>
      <c r="J180" s="159">
        <v>212.2</v>
      </c>
      <c r="K180" s="160">
        <v>8.2240999999999995E-2</v>
      </c>
      <c r="L180" s="160">
        <v>5.4790000000000004E-3</v>
      </c>
      <c r="M180" s="161">
        <f t="shared" si="10"/>
        <v>0.15248691999999997</v>
      </c>
      <c r="N180" s="161">
        <f t="shared" si="11"/>
        <v>7.0245919999999976E-2</v>
      </c>
      <c r="O180" s="121">
        <f t="shared" si="12"/>
        <v>0.46066849536996346</v>
      </c>
      <c r="P180" s="162">
        <f>IF(E180="Hardox 450",INDEX('Sac Parametreleri'!$G$11:$G$24,MATCH(F180,'Sac Parametreleri'!$A$11:$A$24,0)),INDEX('Sac Parametreleri'!$E$11:$E$24,MATCH(F180,'Sac Parametreleri'!$A$11:$A$24,0)))</f>
        <v>50.24</v>
      </c>
      <c r="Q180" s="162">
        <f>INDEX('Sac Parametreleri'!$F$11:$F$24,MATCH(F180,'Sac Parametreleri'!$A$11:$A$24,0))</f>
        <v>20.552727272727271</v>
      </c>
      <c r="R180" s="163">
        <f t="shared" si="13"/>
        <v>6.2171976250181817</v>
      </c>
      <c r="S180" s="163">
        <f t="shared" si="14"/>
        <v>6.2171976250181817</v>
      </c>
      <c r="T180" s="122">
        <f>K180*F180*'Sac Parametreleri'!$B$6*G180</f>
        <v>5.1647347999999997</v>
      </c>
      <c r="U180" s="122">
        <f>N180*F180*'Sac Parametreleri'!$B$6*G180</f>
        <v>4.4114437759999987</v>
      </c>
      <c r="V180" s="122">
        <f>M180*F180*'Sac Parametreleri'!$B$6*G180</f>
        <v>9.5761785759999984</v>
      </c>
      <c r="W180" s="118" t="s">
        <v>85</v>
      </c>
    </row>
    <row r="181" spans="1:23" ht="15" customHeight="1" x14ac:dyDescent="0.25">
      <c r="A181" s="118" t="s">
        <v>511</v>
      </c>
      <c r="B181" s="118">
        <v>2</v>
      </c>
      <c r="C181" s="118" t="s">
        <v>1008</v>
      </c>
      <c r="D181" s="118" t="s">
        <v>1009</v>
      </c>
      <c r="E181" s="118" t="s">
        <v>1552</v>
      </c>
      <c r="F181" s="118">
        <v>8</v>
      </c>
      <c r="G181" s="118">
        <v>1</v>
      </c>
      <c r="H181" s="118" t="s">
        <v>1553</v>
      </c>
      <c r="I181" s="159">
        <v>602.5</v>
      </c>
      <c r="J181" s="159">
        <v>177.5</v>
      </c>
      <c r="K181" s="160">
        <v>6.2007E-2</v>
      </c>
      <c r="L181" s="160">
        <v>6.11E-4</v>
      </c>
      <c r="M181" s="161">
        <f t="shared" si="10"/>
        <v>0.10694375</v>
      </c>
      <c r="N181" s="161">
        <f t="shared" si="11"/>
        <v>4.4936750000000004E-2</v>
      </c>
      <c r="O181" s="121">
        <f t="shared" si="12"/>
        <v>0.42019052071766705</v>
      </c>
      <c r="P181" s="162">
        <f>IF(E181="Hardox 450",INDEX('Sac Parametreleri'!$G$11:$G$24,MATCH(F181,'Sac Parametreleri'!$A$11:$A$24,0)),INDEX('Sac Parametreleri'!$E$11:$E$24,MATCH(F181,'Sac Parametreleri'!$A$11:$A$24,0)))</f>
        <v>50.24</v>
      </c>
      <c r="Q181" s="162">
        <f>INDEX('Sac Parametreleri'!$F$11:$F$24,MATCH(F181,'Sac Parametreleri'!$A$11:$A$24,0))</f>
        <v>20.552727272727271</v>
      </c>
      <c r="R181" s="163">
        <f t="shared" si="13"/>
        <v>4.449281232727273</v>
      </c>
      <c r="S181" s="163">
        <f t="shared" si="14"/>
        <v>4.449281232727273</v>
      </c>
      <c r="T181" s="122">
        <f>K181*F181*'Sac Parametreleri'!$B$6*G181</f>
        <v>3.8940395999999997</v>
      </c>
      <c r="U181" s="122">
        <f>N181*F181*'Sac Parametreleri'!$B$6*G181</f>
        <v>2.8220279000000001</v>
      </c>
      <c r="V181" s="122">
        <f>M181*F181*'Sac Parametreleri'!$B$6*G181</f>
        <v>6.7160675000000003</v>
      </c>
      <c r="W181" s="118" t="s">
        <v>85</v>
      </c>
    </row>
    <row r="182" spans="1:23" ht="15" customHeight="1" x14ac:dyDescent="0.25">
      <c r="A182" s="118" t="s">
        <v>511</v>
      </c>
      <c r="B182" s="118">
        <v>3</v>
      </c>
      <c r="C182" s="118" t="s">
        <v>1684</v>
      </c>
      <c r="D182" s="118" t="s">
        <v>1685</v>
      </c>
      <c r="E182" s="118" t="s">
        <v>1552</v>
      </c>
      <c r="F182" s="118">
        <v>8</v>
      </c>
      <c r="G182" s="118">
        <v>1</v>
      </c>
      <c r="H182" s="118" t="s">
        <v>1551</v>
      </c>
      <c r="I182" s="159">
        <v>372</v>
      </c>
      <c r="J182" s="159">
        <v>51.6</v>
      </c>
      <c r="K182" s="160">
        <v>1.5188999999999999E-2</v>
      </c>
      <c r="L182" s="160">
        <v>0</v>
      </c>
      <c r="M182" s="161">
        <f t="shared" si="10"/>
        <v>1.9195199999999999E-2</v>
      </c>
      <c r="N182" s="161">
        <f t="shared" si="11"/>
        <v>4.0061999999999997E-3</v>
      </c>
      <c r="O182" s="121">
        <f t="shared" si="12"/>
        <v>0.2087084271067767</v>
      </c>
      <c r="P182" s="162">
        <f>IF(E182="Hardox 450",INDEX('Sac Parametreleri'!$G$11:$G$24,MATCH(F182,'Sac Parametreleri'!$A$11:$A$24,0)),INDEX('Sac Parametreleri'!$E$11:$E$24,MATCH(F182,'Sac Parametreleri'!$A$11:$A$24,0)))</f>
        <v>50.24</v>
      </c>
      <c r="Q182" s="162">
        <f>INDEX('Sac Parametreleri'!$F$11:$F$24,MATCH(F182,'Sac Parametreleri'!$A$11:$A$24,0))</f>
        <v>20.552727272727271</v>
      </c>
      <c r="R182" s="163">
        <f t="shared" si="13"/>
        <v>0.88202851199999999</v>
      </c>
      <c r="S182" s="163">
        <f t="shared" si="14"/>
        <v>0.88202851199999999</v>
      </c>
      <c r="T182" s="122">
        <f>K182*F182*'Sac Parametreleri'!$B$6*G182</f>
        <v>0.95386919999999997</v>
      </c>
      <c r="U182" s="122">
        <f>N182*F182*'Sac Parametreleri'!$B$6*G182</f>
        <v>0.25158935999999998</v>
      </c>
      <c r="V182" s="122">
        <f>M182*F182*'Sac Parametreleri'!$B$6*G182</f>
        <v>1.2054585599999998</v>
      </c>
      <c r="W182" s="118" t="s">
        <v>85</v>
      </c>
    </row>
    <row r="183" spans="1:23" ht="15" customHeight="1" x14ac:dyDescent="0.25">
      <c r="A183" s="118" t="s">
        <v>529</v>
      </c>
      <c r="B183" s="118">
        <v>1</v>
      </c>
      <c r="C183" s="118" t="s">
        <v>902</v>
      </c>
      <c r="D183" s="118" t="s">
        <v>903</v>
      </c>
      <c r="E183" s="118" t="s">
        <v>1552</v>
      </c>
      <c r="F183" s="118">
        <v>6</v>
      </c>
      <c r="G183" s="118">
        <v>1</v>
      </c>
      <c r="H183" s="118" t="s">
        <v>1553</v>
      </c>
      <c r="I183" s="159">
        <v>985.8</v>
      </c>
      <c r="J183" s="159">
        <v>431.4</v>
      </c>
      <c r="K183" s="160">
        <v>0.12840199999999999</v>
      </c>
      <c r="L183" s="160">
        <v>1.8500000000000001E-3</v>
      </c>
      <c r="M183" s="161">
        <f t="shared" si="10"/>
        <v>0.42527411999999992</v>
      </c>
      <c r="N183" s="161">
        <f t="shared" si="11"/>
        <v>0.29687211999999996</v>
      </c>
      <c r="O183" s="121">
        <f t="shared" si="12"/>
        <v>0.69807238681723693</v>
      </c>
      <c r="P183" s="162">
        <f>IF(E183="Hardox 450",INDEX('Sac Parametreleri'!$G$11:$G$24,MATCH(F183,'Sac Parametreleri'!$A$11:$A$24,0)),INDEX('Sac Parametreleri'!$E$11:$E$24,MATCH(F183,'Sac Parametreleri'!$A$11:$A$24,0)))</f>
        <v>37.68</v>
      </c>
      <c r="Q183" s="162">
        <f>INDEX('Sac Parametreleri'!$F$11:$F$24,MATCH(F183,'Sac Parametreleri'!$A$11:$A$24,0))</f>
        <v>15.414545454545452</v>
      </c>
      <c r="R183" s="163">
        <f t="shared" si="13"/>
        <v>11.448180053672727</v>
      </c>
      <c r="S183" s="163">
        <f t="shared" si="14"/>
        <v>11.448180053672727</v>
      </c>
      <c r="T183" s="122">
        <f>K183*F183*'Sac Parametreleri'!$B$6*G183</f>
        <v>6.0477341999999989</v>
      </c>
      <c r="U183" s="122">
        <f>N183*F183*'Sac Parametreleri'!$B$6*G183</f>
        <v>13.982676851999997</v>
      </c>
      <c r="V183" s="122">
        <f>M183*F183*'Sac Parametreleri'!$B$6*G183</f>
        <v>20.030411051999998</v>
      </c>
      <c r="W183" s="118" t="s">
        <v>85</v>
      </c>
    </row>
    <row r="184" spans="1:23" ht="15" customHeight="1" x14ac:dyDescent="0.25">
      <c r="A184" s="118" t="s">
        <v>529</v>
      </c>
      <c r="B184" s="118">
        <v>2</v>
      </c>
      <c r="C184" s="118" t="s">
        <v>1686</v>
      </c>
      <c r="D184" s="118" t="s">
        <v>1687</v>
      </c>
      <c r="E184" s="118" t="s">
        <v>1552</v>
      </c>
      <c r="F184" s="118">
        <v>10</v>
      </c>
      <c r="G184" s="118">
        <v>1</v>
      </c>
      <c r="H184" s="118" t="s">
        <v>1551</v>
      </c>
      <c r="I184" s="159">
        <v>232</v>
      </c>
      <c r="J184" s="159">
        <v>75.099999999999994</v>
      </c>
      <c r="K184" s="160">
        <v>1.3335E-2</v>
      </c>
      <c r="L184" s="160">
        <v>0</v>
      </c>
      <c r="M184" s="161">
        <f t="shared" si="10"/>
        <v>1.7423199999999996E-2</v>
      </c>
      <c r="N184" s="161">
        <f t="shared" si="11"/>
        <v>4.0881999999999967E-3</v>
      </c>
      <c r="O184" s="121">
        <f t="shared" si="12"/>
        <v>0.23464116809770866</v>
      </c>
      <c r="P184" s="162">
        <f>IF(E184="Hardox 450",INDEX('Sac Parametreleri'!$G$11:$G$24,MATCH(F184,'Sac Parametreleri'!$A$11:$A$24,0)),INDEX('Sac Parametreleri'!$E$11:$E$24,MATCH(F184,'Sac Parametreleri'!$A$11:$A$24,0)))</f>
        <v>62.800000000000004</v>
      </c>
      <c r="Q184" s="162">
        <f>INDEX('Sac Parametreleri'!$F$11:$F$24,MATCH(F184,'Sac Parametreleri'!$A$11:$A$24,0))</f>
        <v>25.690909090909091</v>
      </c>
      <c r="R184" s="163">
        <f t="shared" si="13"/>
        <v>0.98914738545454528</v>
      </c>
      <c r="S184" s="163">
        <f t="shared" si="14"/>
        <v>0.98914738545454528</v>
      </c>
      <c r="T184" s="122">
        <f>K184*F184*'Sac Parametreleri'!$B$6*G184</f>
        <v>1.0467974999999998</v>
      </c>
      <c r="U184" s="122">
        <f>N184*F184*'Sac Parametreleri'!$B$6*G184</f>
        <v>0.3209236999999997</v>
      </c>
      <c r="V184" s="122">
        <f>M184*F184*'Sac Parametreleri'!$B$6*G184</f>
        <v>1.3677211999999996</v>
      </c>
      <c r="W184" s="118" t="s">
        <v>85</v>
      </c>
    </row>
    <row r="185" spans="1:23" ht="15" customHeight="1" x14ac:dyDescent="0.25">
      <c r="A185" s="118" t="s">
        <v>529</v>
      </c>
      <c r="B185" s="118">
        <v>3</v>
      </c>
      <c r="C185" s="118" t="s">
        <v>1688</v>
      </c>
      <c r="D185" s="118" t="s">
        <v>1689</v>
      </c>
      <c r="E185" s="118" t="s">
        <v>1552</v>
      </c>
      <c r="F185" s="118">
        <v>8</v>
      </c>
      <c r="G185" s="118">
        <v>1</v>
      </c>
      <c r="H185" s="118" t="s">
        <v>1551</v>
      </c>
      <c r="I185" s="159">
        <v>413</v>
      </c>
      <c r="J185" s="159">
        <v>77.400000000000006</v>
      </c>
      <c r="K185" s="160">
        <v>2.4219000000000001E-2</v>
      </c>
      <c r="L185" s="160">
        <v>0</v>
      </c>
      <c r="M185" s="161">
        <f t="shared" si="10"/>
        <v>3.19662E-2</v>
      </c>
      <c r="N185" s="161">
        <f t="shared" si="11"/>
        <v>7.7471999999999992E-3</v>
      </c>
      <c r="O185" s="121">
        <f t="shared" si="12"/>
        <v>0.24235598851286669</v>
      </c>
      <c r="P185" s="162">
        <f>IF(E185="Hardox 450",INDEX('Sac Parametreleri'!$G$11:$G$24,MATCH(F185,'Sac Parametreleri'!$A$11:$A$24,0)),INDEX('Sac Parametreleri'!$E$11:$E$24,MATCH(F185,'Sac Parametreleri'!$A$11:$A$24,0)))</f>
        <v>50.24</v>
      </c>
      <c r="Q185" s="162">
        <f>INDEX('Sac Parametreleri'!$F$11:$F$24,MATCH(F185,'Sac Parametreleri'!$A$11:$A$24,0))</f>
        <v>20.552727272727271</v>
      </c>
      <c r="R185" s="163">
        <f t="shared" si="13"/>
        <v>1.4467557992727273</v>
      </c>
      <c r="S185" s="163">
        <f t="shared" si="14"/>
        <v>1.4467557992727273</v>
      </c>
      <c r="T185" s="122">
        <f>K185*F185*'Sac Parametreleri'!$B$6*G185</f>
        <v>1.5209531999999999</v>
      </c>
      <c r="U185" s="122">
        <f>N185*F185*'Sac Parametreleri'!$B$6*G185</f>
        <v>0.48652415999999993</v>
      </c>
      <c r="V185" s="122">
        <f>M185*F185*'Sac Parametreleri'!$B$6*G185</f>
        <v>2.0074773599999998</v>
      </c>
      <c r="W185" s="118" t="s">
        <v>85</v>
      </c>
    </row>
    <row r="186" spans="1:23" ht="15" customHeight="1" x14ac:dyDescent="0.25">
      <c r="A186" s="118" t="s">
        <v>529</v>
      </c>
      <c r="B186" s="118">
        <v>4</v>
      </c>
      <c r="C186" s="118" t="s">
        <v>1690</v>
      </c>
      <c r="D186" s="118" t="s">
        <v>1691</v>
      </c>
      <c r="E186" s="118" t="s">
        <v>1552</v>
      </c>
      <c r="F186" s="118">
        <v>10</v>
      </c>
      <c r="G186" s="118">
        <v>1</v>
      </c>
      <c r="H186" s="118" t="s">
        <v>1551</v>
      </c>
      <c r="I186" s="159">
        <v>280</v>
      </c>
      <c r="J186" s="159">
        <v>40</v>
      </c>
      <c r="K186" s="160">
        <v>1.12E-2</v>
      </c>
      <c r="L186" s="160">
        <v>0</v>
      </c>
      <c r="M186" s="161">
        <f t="shared" si="10"/>
        <v>1.12E-2</v>
      </c>
      <c r="N186" s="161">
        <f t="shared" si="11"/>
        <v>0</v>
      </c>
      <c r="O186" s="121">
        <f t="shared" si="12"/>
        <v>0</v>
      </c>
      <c r="P186" s="162">
        <f>IF(E186="Hardox 450",INDEX('Sac Parametreleri'!$G$11:$G$24,MATCH(F186,'Sac Parametreleri'!$A$11:$A$24,0)),INDEX('Sac Parametreleri'!$E$11:$E$24,MATCH(F186,'Sac Parametreleri'!$A$11:$A$24,0)))</f>
        <v>62.800000000000004</v>
      </c>
      <c r="Q186" s="162">
        <f>INDEX('Sac Parametreleri'!$F$11:$F$24,MATCH(F186,'Sac Parametreleri'!$A$11:$A$24,0))</f>
        <v>25.690909090909091</v>
      </c>
      <c r="R186" s="163">
        <f t="shared" si="13"/>
        <v>0.70335999999999999</v>
      </c>
      <c r="S186" s="163">
        <f t="shared" si="14"/>
        <v>0.70335999999999999</v>
      </c>
      <c r="T186" s="122">
        <f>K186*F186*'Sac Parametreleri'!$B$6*G186</f>
        <v>0.87919999999999998</v>
      </c>
      <c r="U186" s="122">
        <f>N186*F186*'Sac Parametreleri'!$B$6*G186</f>
        <v>0</v>
      </c>
      <c r="V186" s="122">
        <f>M186*F186*'Sac Parametreleri'!$B$6*G186</f>
        <v>0.87919999999999998</v>
      </c>
      <c r="W186" s="118" t="s">
        <v>85</v>
      </c>
    </row>
    <row r="187" spans="1:23" ht="15" customHeight="1" x14ac:dyDescent="0.25">
      <c r="A187" s="118" t="s">
        <v>495</v>
      </c>
      <c r="B187" s="118">
        <v>1</v>
      </c>
      <c r="C187" s="118" t="s">
        <v>862</v>
      </c>
      <c r="D187" s="118" t="s">
        <v>700</v>
      </c>
      <c r="E187" s="118" t="s">
        <v>1552</v>
      </c>
      <c r="F187" s="118">
        <v>5</v>
      </c>
      <c r="G187" s="118">
        <v>1</v>
      </c>
      <c r="H187" s="118" t="s">
        <v>1576</v>
      </c>
      <c r="I187" s="159">
        <v>483.6</v>
      </c>
      <c r="J187" s="159">
        <v>313.8</v>
      </c>
      <c r="K187" s="160">
        <v>0.14063800000000001</v>
      </c>
      <c r="L187" s="160">
        <v>8.6899999999999998E-4</v>
      </c>
      <c r="M187" s="161">
        <f t="shared" si="10"/>
        <v>0.15175368000000003</v>
      </c>
      <c r="N187" s="161">
        <f t="shared" si="11"/>
        <v>1.1115680000000017E-2</v>
      </c>
      <c r="O187" s="121">
        <f t="shared" si="12"/>
        <v>7.3248174278211994E-2</v>
      </c>
      <c r="P187" s="162">
        <f>IF(E187="Hardox 450",INDEX('Sac Parametreleri'!$G$11:$G$24,MATCH(F187,'Sac Parametreleri'!$A$11:$A$24,0)),INDEX('Sac Parametreleri'!$E$11:$E$24,MATCH(F187,'Sac Parametreleri'!$A$11:$A$24,0)))</f>
        <v>31.400000000000002</v>
      </c>
      <c r="Q187" s="162">
        <f>INDEX('Sac Parametreleri'!$F$11:$F$24,MATCH(F187,'Sac Parametreleri'!$A$11:$A$24,0))</f>
        <v>12.845454545454546</v>
      </c>
      <c r="R187" s="163">
        <f t="shared" si="13"/>
        <v>4.6222795898181825</v>
      </c>
      <c r="S187" s="163">
        <f t="shared" si="14"/>
        <v>4.6222795898181825</v>
      </c>
      <c r="T187" s="122">
        <f>K187*F187*'Sac Parametreleri'!$B$6*G187</f>
        <v>5.5200415000000005</v>
      </c>
      <c r="U187" s="122">
        <f>N187*F187*'Sac Parametreleri'!$B$6*G187</f>
        <v>0.43629044000000061</v>
      </c>
      <c r="V187" s="122">
        <f>M187*F187*'Sac Parametreleri'!$B$6*G187</f>
        <v>5.956331940000001</v>
      </c>
      <c r="W187" s="118" t="s">
        <v>85</v>
      </c>
    </row>
    <row r="188" spans="1:23" ht="15" customHeight="1" x14ac:dyDescent="0.25">
      <c r="A188" s="118" t="s">
        <v>495</v>
      </c>
      <c r="B188" s="118">
        <v>2</v>
      </c>
      <c r="C188" s="118" t="s">
        <v>1692</v>
      </c>
      <c r="D188" s="118" t="s">
        <v>700</v>
      </c>
      <c r="E188" s="118" t="s">
        <v>1552</v>
      </c>
      <c r="F188" s="118">
        <v>6</v>
      </c>
      <c r="G188" s="118">
        <v>1</v>
      </c>
      <c r="H188" s="118" t="s">
        <v>1551</v>
      </c>
      <c r="I188" s="159">
        <v>390</v>
      </c>
      <c r="J188" s="159">
        <v>70</v>
      </c>
      <c r="K188" s="160">
        <v>2.3132E-2</v>
      </c>
      <c r="L188" s="160">
        <v>2.5799999999999998E-4</v>
      </c>
      <c r="M188" s="161">
        <f t="shared" si="10"/>
        <v>2.7300000000000001E-2</v>
      </c>
      <c r="N188" s="161">
        <f t="shared" si="11"/>
        <v>4.1680000000000016E-3</v>
      </c>
      <c r="O188" s="121">
        <f t="shared" si="12"/>
        <v>0.15267399267399273</v>
      </c>
      <c r="P188" s="162">
        <f>IF(E188="Hardox 450",INDEX('Sac Parametreleri'!$G$11:$G$24,MATCH(F188,'Sac Parametreleri'!$A$11:$A$24,0)),INDEX('Sac Parametreleri'!$E$11:$E$24,MATCH(F188,'Sac Parametreleri'!$A$11:$A$24,0)))</f>
        <v>37.68</v>
      </c>
      <c r="Q188" s="162">
        <f>INDEX('Sac Parametreleri'!$F$11:$F$24,MATCH(F188,'Sac Parametreleri'!$A$11:$A$24,0))</f>
        <v>15.414545454545452</v>
      </c>
      <c r="R188" s="163">
        <f t="shared" si="13"/>
        <v>0.96441617454545459</v>
      </c>
      <c r="S188" s="163">
        <f t="shared" si="14"/>
        <v>0.96441617454545459</v>
      </c>
      <c r="T188" s="122">
        <f>K188*F188*'Sac Parametreleri'!$B$6*G188</f>
        <v>1.0895172</v>
      </c>
      <c r="U188" s="122">
        <f>N188*F188*'Sac Parametreleri'!$B$6*G188</f>
        <v>0.19631280000000007</v>
      </c>
      <c r="V188" s="122">
        <f>M188*F188*'Sac Parametreleri'!$B$6*G188</f>
        <v>1.28583</v>
      </c>
      <c r="W188" s="118" t="s">
        <v>85</v>
      </c>
    </row>
    <row r="189" spans="1:23" ht="15" customHeight="1" x14ac:dyDescent="0.25">
      <c r="A189" s="118" t="s">
        <v>495</v>
      </c>
      <c r="B189" s="118">
        <v>3</v>
      </c>
      <c r="C189" s="118" t="s">
        <v>1693</v>
      </c>
      <c r="D189" s="118" t="s">
        <v>700</v>
      </c>
      <c r="E189" s="118" t="s">
        <v>1552</v>
      </c>
      <c r="F189" s="118">
        <v>5</v>
      </c>
      <c r="G189" s="118">
        <v>2</v>
      </c>
      <c r="H189" s="118" t="s">
        <v>1551</v>
      </c>
      <c r="I189" s="159">
        <v>95</v>
      </c>
      <c r="J189" s="159">
        <v>45</v>
      </c>
      <c r="K189" s="160">
        <v>3.8E-3</v>
      </c>
      <c r="L189" s="160">
        <v>0</v>
      </c>
      <c r="M189" s="161">
        <f t="shared" si="10"/>
        <v>4.2750000000000002E-3</v>
      </c>
      <c r="N189" s="161">
        <f t="shared" si="11"/>
        <v>4.7500000000000016E-4</v>
      </c>
      <c r="O189" s="121">
        <f t="shared" si="12"/>
        <v>0.11111111111111115</v>
      </c>
      <c r="P189" s="162">
        <f>IF(E189="Hardox 450",INDEX('Sac Parametreleri'!$G$11:$G$24,MATCH(F189,'Sac Parametreleri'!$A$11:$A$24,0)),INDEX('Sac Parametreleri'!$E$11:$E$24,MATCH(F189,'Sac Parametreleri'!$A$11:$A$24,0)))</f>
        <v>31.400000000000002</v>
      </c>
      <c r="Q189" s="162">
        <f>INDEX('Sac Parametreleri'!$F$11:$F$24,MATCH(F189,'Sac Parametreleri'!$A$11:$A$24,0))</f>
        <v>12.845454545454546</v>
      </c>
      <c r="R189" s="163">
        <f t="shared" si="13"/>
        <v>0.12813340909090912</v>
      </c>
      <c r="S189" s="163">
        <f t="shared" si="14"/>
        <v>0.25626681818181823</v>
      </c>
      <c r="T189" s="122">
        <f>K189*F189*'Sac Parametreleri'!$B$6*G189</f>
        <v>0.29829999999999995</v>
      </c>
      <c r="U189" s="122">
        <f>N189*F189*'Sac Parametreleri'!$B$6*G189</f>
        <v>3.7287500000000008E-2</v>
      </c>
      <c r="V189" s="122">
        <f>M189*F189*'Sac Parametreleri'!$B$6*G189</f>
        <v>0.33558749999999998</v>
      </c>
      <c r="W189" s="118" t="s">
        <v>85</v>
      </c>
    </row>
    <row r="190" spans="1:23" ht="15" customHeight="1" x14ac:dyDescent="0.25">
      <c r="A190" s="118" t="s">
        <v>495</v>
      </c>
      <c r="B190" s="118">
        <v>4</v>
      </c>
      <c r="C190" s="118" t="s">
        <v>1694</v>
      </c>
      <c r="D190" s="118" t="s">
        <v>700</v>
      </c>
      <c r="E190" s="118" t="s">
        <v>1552</v>
      </c>
      <c r="F190" s="118">
        <v>5</v>
      </c>
      <c r="G190" s="118">
        <v>2</v>
      </c>
      <c r="H190" s="118" t="s">
        <v>1551</v>
      </c>
      <c r="I190" s="159">
        <v>285.3</v>
      </c>
      <c r="J190" s="159">
        <v>116.1</v>
      </c>
      <c r="K190" s="160">
        <v>1.6015999999999999E-2</v>
      </c>
      <c r="L190" s="160">
        <v>0</v>
      </c>
      <c r="M190" s="161">
        <f t="shared" si="10"/>
        <v>3.3123329999999999E-2</v>
      </c>
      <c r="N190" s="161">
        <f t="shared" si="11"/>
        <v>1.710733E-2</v>
      </c>
      <c r="O190" s="121">
        <f t="shared" si="12"/>
        <v>0.51647373618534131</v>
      </c>
      <c r="P190" s="162">
        <f>IF(E190="Hardox 450",INDEX('Sac Parametreleri'!$G$11:$G$24,MATCH(F190,'Sac Parametreleri'!$A$11:$A$24,0)),INDEX('Sac Parametreleri'!$E$11:$E$24,MATCH(F190,'Sac Parametreleri'!$A$11:$A$24,0)))</f>
        <v>31.400000000000002</v>
      </c>
      <c r="Q190" s="162">
        <f>INDEX('Sac Parametreleri'!$F$11:$F$24,MATCH(F190,'Sac Parametreleri'!$A$11:$A$24,0))</f>
        <v>12.845454545454546</v>
      </c>
      <c r="R190" s="163">
        <f t="shared" si="13"/>
        <v>0.82032113209090907</v>
      </c>
      <c r="S190" s="163">
        <f t="shared" si="14"/>
        <v>1.6406422641818181</v>
      </c>
      <c r="T190" s="122">
        <f>K190*F190*'Sac Parametreleri'!$B$6*G190</f>
        <v>1.2572559999999999</v>
      </c>
      <c r="U190" s="122">
        <f>N190*F190*'Sac Parametreleri'!$B$6*G190</f>
        <v>1.3429254050000001</v>
      </c>
      <c r="V190" s="122">
        <f>M190*F190*'Sac Parametreleri'!$B$6*G190</f>
        <v>2.6001814049999998</v>
      </c>
      <c r="W190" s="118" t="s">
        <v>85</v>
      </c>
    </row>
    <row r="191" spans="1:23" ht="15" customHeight="1" x14ac:dyDescent="0.25">
      <c r="A191" s="118" t="s">
        <v>495</v>
      </c>
      <c r="B191" s="118">
        <v>5</v>
      </c>
      <c r="C191" s="118" t="s">
        <v>1695</v>
      </c>
      <c r="D191" s="118" t="s">
        <v>700</v>
      </c>
      <c r="E191" s="118" t="s">
        <v>1552</v>
      </c>
      <c r="F191" s="118">
        <v>5</v>
      </c>
      <c r="G191" s="118">
        <v>1</v>
      </c>
      <c r="H191" s="118" t="s">
        <v>1551</v>
      </c>
      <c r="I191" s="159">
        <v>174.5</v>
      </c>
      <c r="J191" s="159">
        <v>45.7</v>
      </c>
      <c r="K191" s="160">
        <v>6.326E-3</v>
      </c>
      <c r="L191" s="160">
        <v>0</v>
      </c>
      <c r="M191" s="161">
        <f t="shared" si="10"/>
        <v>7.9746499999999998E-3</v>
      </c>
      <c r="N191" s="161">
        <f t="shared" si="11"/>
        <v>1.6486499999999998E-3</v>
      </c>
      <c r="O191" s="121">
        <f t="shared" si="12"/>
        <v>0.20673634579574024</v>
      </c>
      <c r="P191" s="162">
        <f>IF(E191="Hardox 450",INDEX('Sac Parametreleri'!$G$11:$G$24,MATCH(F191,'Sac Parametreleri'!$A$11:$A$24,0)),INDEX('Sac Parametreleri'!$E$11:$E$24,MATCH(F191,'Sac Parametreleri'!$A$11:$A$24,0)))</f>
        <v>31.400000000000002</v>
      </c>
      <c r="Q191" s="162">
        <f>INDEX('Sac Parametreleri'!$F$11:$F$24,MATCH(F191,'Sac Parametreleri'!$A$11:$A$24,0))</f>
        <v>12.845454545454546</v>
      </c>
      <c r="R191" s="163">
        <f t="shared" si="13"/>
        <v>0.22922635136363637</v>
      </c>
      <c r="S191" s="163">
        <f t="shared" si="14"/>
        <v>0.22922635136363637</v>
      </c>
      <c r="T191" s="122">
        <f>K191*F191*'Sac Parametreleri'!$B$6*G191</f>
        <v>0.24829549999999997</v>
      </c>
      <c r="U191" s="122">
        <f>N191*F191*'Sac Parametreleri'!$B$6*G191</f>
        <v>6.4709512499999983E-2</v>
      </c>
      <c r="V191" s="122">
        <f>M191*F191*'Sac Parametreleri'!$B$6*G191</f>
        <v>0.31300501249999996</v>
      </c>
      <c r="W191" s="118" t="s">
        <v>85</v>
      </c>
    </row>
    <row r="192" spans="1:23" ht="15" customHeight="1" x14ac:dyDescent="0.25">
      <c r="A192" s="118" t="s">
        <v>495</v>
      </c>
      <c r="B192" s="118">
        <v>6</v>
      </c>
      <c r="C192" s="118" t="s">
        <v>1696</v>
      </c>
      <c r="D192" s="118" t="s">
        <v>700</v>
      </c>
      <c r="E192" s="118" t="s">
        <v>1552</v>
      </c>
      <c r="F192" s="118">
        <v>5</v>
      </c>
      <c r="G192" s="118">
        <v>1</v>
      </c>
      <c r="H192" s="118" t="s">
        <v>1551</v>
      </c>
      <c r="I192" s="159">
        <v>190</v>
      </c>
      <c r="J192" s="159">
        <v>55</v>
      </c>
      <c r="K192" s="160">
        <v>7.4729999999999996E-3</v>
      </c>
      <c r="L192" s="160">
        <v>0</v>
      </c>
      <c r="M192" s="161">
        <f t="shared" si="10"/>
        <v>1.0449999999999999E-2</v>
      </c>
      <c r="N192" s="161">
        <f t="shared" si="11"/>
        <v>2.9769999999999996E-3</v>
      </c>
      <c r="O192" s="121">
        <f t="shared" si="12"/>
        <v>0.28488038277511962</v>
      </c>
      <c r="P192" s="162">
        <f>IF(E192="Hardox 450",INDEX('Sac Parametreleri'!$G$11:$G$24,MATCH(F192,'Sac Parametreleri'!$A$11:$A$24,0)),INDEX('Sac Parametreleri'!$E$11:$E$24,MATCH(F192,'Sac Parametreleri'!$A$11:$A$24,0)))</f>
        <v>31.400000000000002</v>
      </c>
      <c r="Q192" s="162">
        <f>INDEX('Sac Parametreleri'!$F$11:$F$24,MATCH(F192,'Sac Parametreleri'!$A$11:$A$24,0))</f>
        <v>12.845454545454546</v>
      </c>
      <c r="R192" s="163">
        <f t="shared" si="13"/>
        <v>0.28988908181818179</v>
      </c>
      <c r="S192" s="163">
        <f t="shared" si="14"/>
        <v>0.28988908181818179</v>
      </c>
      <c r="T192" s="122">
        <f>K192*F192*'Sac Parametreleri'!$B$6*G192</f>
        <v>0.29331524999999997</v>
      </c>
      <c r="U192" s="122">
        <f>N192*F192*'Sac Parametreleri'!$B$6*G192</f>
        <v>0.11684724999999999</v>
      </c>
      <c r="V192" s="122">
        <f>M192*F192*'Sac Parametreleri'!$B$6*G192</f>
        <v>0.41016249999999999</v>
      </c>
      <c r="W192" s="118" t="s">
        <v>85</v>
      </c>
    </row>
    <row r="193" spans="1:24" ht="15" customHeight="1" x14ac:dyDescent="0.25">
      <c r="A193" s="118" t="s">
        <v>541</v>
      </c>
      <c r="B193" s="118">
        <v>1</v>
      </c>
      <c r="C193" s="118" t="s">
        <v>854</v>
      </c>
      <c r="D193" s="118" t="s">
        <v>700</v>
      </c>
      <c r="E193" s="118" t="s">
        <v>1552</v>
      </c>
      <c r="F193" s="118">
        <v>6</v>
      </c>
      <c r="G193" s="118">
        <v>1</v>
      </c>
      <c r="H193" s="118" t="s">
        <v>1575</v>
      </c>
      <c r="I193" s="159">
        <v>595</v>
      </c>
      <c r="J193" s="159">
        <v>439.8</v>
      </c>
      <c r="K193" s="160">
        <v>0.132628</v>
      </c>
      <c r="L193" s="160">
        <v>1.755E-3</v>
      </c>
      <c r="M193" s="161">
        <f t="shared" si="10"/>
        <v>0.261681</v>
      </c>
      <c r="N193" s="161">
        <f t="shared" si="11"/>
        <v>0.129053</v>
      </c>
      <c r="O193" s="121">
        <f t="shared" si="12"/>
        <v>0.49316916398210037</v>
      </c>
      <c r="P193" s="162">
        <f>IF(E193="Hardox 450",INDEX('Sac Parametreleri'!$G$11:$G$24,MATCH(F193,'Sac Parametreleri'!$A$11:$A$24,0)),INDEX('Sac Parametreleri'!$E$11:$E$24,MATCH(F193,'Sac Parametreleri'!$A$11:$A$24,0)))</f>
        <v>37.68</v>
      </c>
      <c r="Q193" s="162">
        <f>INDEX('Sac Parametreleri'!$F$11:$F$24,MATCH(F193,'Sac Parametreleri'!$A$11:$A$24,0))</f>
        <v>15.414545454545452</v>
      </c>
      <c r="R193" s="163">
        <f t="shared" si="13"/>
        <v>7.8708467454545445</v>
      </c>
      <c r="S193" s="163">
        <f t="shared" si="14"/>
        <v>7.8708467454545445</v>
      </c>
      <c r="T193" s="122">
        <f>K193*F193*'Sac Parametreleri'!$B$6*G193</f>
        <v>6.2467787999999995</v>
      </c>
      <c r="U193" s="122">
        <f>N193*F193*'Sac Parametreleri'!$B$6*G193</f>
        <v>6.0783963000000005</v>
      </c>
      <c r="V193" s="122">
        <f>M193*F193*'Sac Parametreleri'!$B$6*G193</f>
        <v>12.325175099999999</v>
      </c>
      <c r="W193" s="118" t="s">
        <v>85</v>
      </c>
    </row>
    <row r="194" spans="1:24" ht="15" customHeight="1" x14ac:dyDescent="0.25">
      <c r="A194" s="118" t="s">
        <v>541</v>
      </c>
      <c r="B194" s="118">
        <v>2</v>
      </c>
      <c r="C194" s="118" t="s">
        <v>1697</v>
      </c>
      <c r="D194" s="118" t="s">
        <v>700</v>
      </c>
      <c r="E194" s="118" t="s">
        <v>1552</v>
      </c>
      <c r="F194" s="118">
        <v>5</v>
      </c>
      <c r="G194" s="118">
        <v>1</v>
      </c>
      <c r="H194" s="118" t="s">
        <v>1551</v>
      </c>
      <c r="I194" s="159">
        <v>150</v>
      </c>
      <c r="J194" s="159">
        <v>40</v>
      </c>
      <c r="K194" s="160">
        <v>4.2620000000000002E-3</v>
      </c>
      <c r="L194" s="160">
        <v>0</v>
      </c>
      <c r="M194" s="161">
        <f t="shared" ref="M194:M245" si="15">I194*J194/1000000</f>
        <v>6.0000000000000001E-3</v>
      </c>
      <c r="N194" s="161">
        <f t="shared" ref="N194:N257" si="16">MAX(M194-K194,0)</f>
        <v>1.738E-3</v>
      </c>
      <c r="O194" s="121">
        <f t="shared" ref="O194:O257" si="17">IF(M194=0,0,N194/M194)</f>
        <v>0.28966666666666663</v>
      </c>
      <c r="P194" s="162">
        <f>IF(E194="Hardox 450",INDEX('Sac Parametreleri'!$G$11:$G$24,MATCH(F194,'Sac Parametreleri'!$A$11:$A$24,0)),INDEX('Sac Parametreleri'!$E$11:$E$24,MATCH(F194,'Sac Parametreleri'!$A$11:$A$24,0)))</f>
        <v>31.400000000000002</v>
      </c>
      <c r="Q194" s="162">
        <f>INDEX('Sac Parametreleri'!$F$11:$F$24,MATCH(F194,'Sac Parametreleri'!$A$11:$A$24,0))</f>
        <v>12.845454545454546</v>
      </c>
      <c r="R194" s="163">
        <f t="shared" ref="R194:R257" si="18">(K194+N194)*P194-N194*Q194</f>
        <v>0.16607460000000002</v>
      </c>
      <c r="S194" s="163">
        <f t="shared" ref="S194:S257" si="19">R194*G194</f>
        <v>0.16607460000000002</v>
      </c>
      <c r="T194" s="122">
        <f>K194*F194*'Sac Parametreleri'!$B$6*G194</f>
        <v>0.1672835</v>
      </c>
      <c r="U194" s="122">
        <f>N194*F194*'Sac Parametreleri'!$B$6*G194</f>
        <v>6.8216499999999999E-2</v>
      </c>
      <c r="V194" s="122">
        <f>M194*F194*'Sac Parametreleri'!$B$6*G194</f>
        <v>0.23549999999999999</v>
      </c>
      <c r="W194" s="118" t="s">
        <v>85</v>
      </c>
    </row>
    <row r="195" spans="1:24" ht="15" customHeight="1" x14ac:dyDescent="0.25">
      <c r="A195" s="118" t="s">
        <v>541</v>
      </c>
      <c r="B195" s="118">
        <v>3</v>
      </c>
      <c r="C195" s="118" t="s">
        <v>1698</v>
      </c>
      <c r="D195" s="118" t="s">
        <v>700</v>
      </c>
      <c r="E195" s="118" t="s">
        <v>1552</v>
      </c>
      <c r="F195" s="118">
        <v>5</v>
      </c>
      <c r="G195" s="118">
        <v>1</v>
      </c>
      <c r="H195" s="118" t="s">
        <v>1551</v>
      </c>
      <c r="I195" s="159">
        <v>221</v>
      </c>
      <c r="J195" s="159">
        <v>176</v>
      </c>
      <c r="K195" s="160">
        <v>1.3228999999999999E-2</v>
      </c>
      <c r="L195" s="160">
        <v>0</v>
      </c>
      <c r="M195" s="161">
        <f t="shared" si="15"/>
        <v>3.8896E-2</v>
      </c>
      <c r="N195" s="161">
        <f t="shared" si="16"/>
        <v>2.5667000000000002E-2</v>
      </c>
      <c r="O195" s="121">
        <f t="shared" si="17"/>
        <v>0.65988790621143567</v>
      </c>
      <c r="P195" s="162">
        <f>IF(E195="Hardox 450",INDEX('Sac Parametreleri'!$G$11:$G$24,MATCH(F195,'Sac Parametreleri'!$A$11:$A$24,0)),INDEX('Sac Parametreleri'!$E$11:$E$24,MATCH(F195,'Sac Parametreleri'!$A$11:$A$24,0)))</f>
        <v>31.400000000000002</v>
      </c>
      <c r="Q195" s="162">
        <f>INDEX('Sac Parametreleri'!$F$11:$F$24,MATCH(F195,'Sac Parametreleri'!$A$11:$A$24,0))</f>
        <v>12.845454545454546</v>
      </c>
      <c r="R195" s="163">
        <f t="shared" si="18"/>
        <v>0.89163011818181825</v>
      </c>
      <c r="S195" s="163">
        <f t="shared" si="19"/>
        <v>0.89163011818181825</v>
      </c>
      <c r="T195" s="122">
        <f>K195*F195*'Sac Parametreleri'!$B$6*G195</f>
        <v>0.5192382499999999</v>
      </c>
      <c r="U195" s="122">
        <f>N195*F195*'Sac Parametreleri'!$B$6*G195</f>
        <v>1.00742975</v>
      </c>
      <c r="V195" s="122">
        <f>M195*F195*'Sac Parametreleri'!$B$6*G195</f>
        <v>1.5266679999999999</v>
      </c>
      <c r="W195" s="118" t="s">
        <v>85</v>
      </c>
    </row>
    <row r="196" spans="1:24" ht="15" customHeight="1" x14ac:dyDescent="0.25">
      <c r="A196" s="118" t="s">
        <v>541</v>
      </c>
      <c r="B196" s="118">
        <v>4</v>
      </c>
      <c r="C196" s="118" t="s">
        <v>855</v>
      </c>
      <c r="D196" s="118" t="s">
        <v>700</v>
      </c>
      <c r="E196" s="118" t="s">
        <v>1552</v>
      </c>
      <c r="F196" s="118">
        <v>5</v>
      </c>
      <c r="G196" s="118">
        <v>1</v>
      </c>
      <c r="H196" s="118" t="s">
        <v>1553</v>
      </c>
      <c r="I196" s="159">
        <v>650.79999999999995</v>
      </c>
      <c r="J196" s="159">
        <v>40</v>
      </c>
      <c r="K196" s="160">
        <v>2.2124000000000001E-2</v>
      </c>
      <c r="L196" s="160">
        <v>0</v>
      </c>
      <c r="M196" s="161">
        <f t="shared" si="15"/>
        <v>2.6032E-2</v>
      </c>
      <c r="N196" s="161">
        <f t="shared" si="16"/>
        <v>3.9079999999999983E-3</v>
      </c>
      <c r="O196" s="121">
        <f t="shared" si="17"/>
        <v>0.1501229256299938</v>
      </c>
      <c r="P196" s="162">
        <f>IF(E196="Hardox 450",INDEX('Sac Parametreleri'!$G$11:$G$24,MATCH(F196,'Sac Parametreleri'!$A$11:$A$24,0)),INDEX('Sac Parametreleri'!$E$11:$E$24,MATCH(F196,'Sac Parametreleri'!$A$11:$A$24,0)))</f>
        <v>31.400000000000002</v>
      </c>
      <c r="Q196" s="162">
        <f>INDEX('Sac Parametreleri'!$F$11:$F$24,MATCH(F196,'Sac Parametreleri'!$A$11:$A$24,0))</f>
        <v>12.845454545454546</v>
      </c>
      <c r="R196" s="163">
        <f t="shared" si="18"/>
        <v>0.7672047636363637</v>
      </c>
      <c r="S196" s="163">
        <f t="shared" si="19"/>
        <v>0.7672047636363637</v>
      </c>
      <c r="T196" s="122">
        <f>K196*F196*'Sac Parametreleri'!$B$6*G196</f>
        <v>0.868367</v>
      </c>
      <c r="U196" s="122">
        <f>N196*F196*'Sac Parametreleri'!$B$6*G196</f>
        <v>0.15338899999999991</v>
      </c>
      <c r="V196" s="122">
        <f>M196*F196*'Sac Parametreleri'!$B$6*G196</f>
        <v>1.0217559999999999</v>
      </c>
      <c r="W196" s="118" t="s">
        <v>85</v>
      </c>
    </row>
    <row r="197" spans="1:24" ht="15" customHeight="1" x14ac:dyDescent="0.25">
      <c r="A197" s="118" t="s">
        <v>541</v>
      </c>
      <c r="B197" s="118">
        <v>5</v>
      </c>
      <c r="C197" s="118" t="s">
        <v>1699</v>
      </c>
      <c r="D197" s="118" t="s">
        <v>700</v>
      </c>
      <c r="E197" s="118" t="s">
        <v>1552</v>
      </c>
      <c r="F197" s="118">
        <v>5</v>
      </c>
      <c r="G197" s="118">
        <v>4</v>
      </c>
      <c r="H197" s="118" t="s">
        <v>1551</v>
      </c>
      <c r="I197" s="159">
        <v>85</v>
      </c>
      <c r="J197" s="159">
        <v>40</v>
      </c>
      <c r="K197" s="160">
        <v>2.846E-3</v>
      </c>
      <c r="L197" s="160">
        <v>0</v>
      </c>
      <c r="M197" s="161">
        <f t="shared" si="15"/>
        <v>3.3999999999999998E-3</v>
      </c>
      <c r="N197" s="161">
        <f t="shared" si="16"/>
        <v>5.5399999999999981E-4</v>
      </c>
      <c r="O197" s="121">
        <f t="shared" si="17"/>
        <v>0.1629411764705882</v>
      </c>
      <c r="P197" s="162">
        <f>IF(E197="Hardox 450",INDEX('Sac Parametreleri'!$G$11:$G$24,MATCH(F197,'Sac Parametreleri'!$A$11:$A$24,0)),INDEX('Sac Parametreleri'!$E$11:$E$24,MATCH(F197,'Sac Parametreleri'!$A$11:$A$24,0)))</f>
        <v>31.400000000000002</v>
      </c>
      <c r="Q197" s="162">
        <f>INDEX('Sac Parametreleri'!$F$11:$F$24,MATCH(F197,'Sac Parametreleri'!$A$11:$A$24,0))</f>
        <v>12.845454545454546</v>
      </c>
      <c r="R197" s="163">
        <f t="shared" si="18"/>
        <v>9.9643618181818189E-2</v>
      </c>
      <c r="S197" s="163">
        <f t="shared" si="19"/>
        <v>0.39857447272727276</v>
      </c>
      <c r="T197" s="122">
        <f>K197*F197*'Sac Parametreleri'!$B$6*G197</f>
        <v>0.44682199999999994</v>
      </c>
      <c r="U197" s="122">
        <f>N197*F197*'Sac Parametreleri'!$B$6*G197</f>
        <v>8.6977999999999972E-2</v>
      </c>
      <c r="V197" s="122">
        <f>M197*F197*'Sac Parametreleri'!$B$6*G197</f>
        <v>0.53379999999999994</v>
      </c>
      <c r="W197" s="118" t="s">
        <v>85</v>
      </c>
    </row>
    <row r="198" spans="1:24" ht="15" customHeight="1" x14ac:dyDescent="0.25">
      <c r="A198" s="118" t="s">
        <v>541</v>
      </c>
      <c r="B198" s="118">
        <v>6</v>
      </c>
      <c r="C198" s="118" t="s">
        <v>1700</v>
      </c>
      <c r="D198" s="118" t="s">
        <v>700</v>
      </c>
      <c r="E198" s="118" t="s">
        <v>1552</v>
      </c>
      <c r="F198" s="118">
        <v>5</v>
      </c>
      <c r="G198" s="118">
        <v>1</v>
      </c>
      <c r="H198" s="118" t="s">
        <v>1551</v>
      </c>
      <c r="I198" s="159">
        <v>238.5</v>
      </c>
      <c r="J198" s="159">
        <v>190</v>
      </c>
      <c r="K198" s="160">
        <v>1.4408000000000001E-2</v>
      </c>
      <c r="L198" s="160">
        <v>0</v>
      </c>
      <c r="M198" s="161">
        <f t="shared" si="15"/>
        <v>4.5315000000000001E-2</v>
      </c>
      <c r="N198" s="161">
        <f t="shared" si="16"/>
        <v>3.0907E-2</v>
      </c>
      <c r="O198" s="121">
        <f t="shared" si="17"/>
        <v>0.68204788701313035</v>
      </c>
      <c r="P198" s="162">
        <f>IF(E198="Hardox 450",INDEX('Sac Parametreleri'!$G$11:$G$24,MATCH(F198,'Sac Parametreleri'!$A$11:$A$24,0)),INDEX('Sac Parametreleri'!$E$11:$E$24,MATCH(F198,'Sac Parametreleri'!$A$11:$A$24,0)))</f>
        <v>31.400000000000002</v>
      </c>
      <c r="Q198" s="162">
        <f>INDEX('Sac Parametreleri'!$F$11:$F$24,MATCH(F198,'Sac Parametreleri'!$A$11:$A$24,0))</f>
        <v>12.845454545454546</v>
      </c>
      <c r="R198" s="163">
        <f t="shared" si="18"/>
        <v>1.0258765363636364</v>
      </c>
      <c r="S198" s="163">
        <f t="shared" si="19"/>
        <v>1.0258765363636364</v>
      </c>
      <c r="T198" s="122">
        <f>K198*F198*'Sac Parametreleri'!$B$6*G198</f>
        <v>0.56551400000000007</v>
      </c>
      <c r="U198" s="122">
        <f>N198*F198*'Sac Parametreleri'!$B$6*G198</f>
        <v>1.21309975</v>
      </c>
      <c r="V198" s="122">
        <f>M198*F198*'Sac Parametreleri'!$B$6*G198</f>
        <v>1.7786137499999999</v>
      </c>
      <c r="W198" s="118" t="s">
        <v>85</v>
      </c>
    </row>
    <row r="199" spans="1:24" ht="15" customHeight="1" x14ac:dyDescent="0.25">
      <c r="A199" s="118" t="s">
        <v>459</v>
      </c>
      <c r="B199" s="118">
        <v>1</v>
      </c>
      <c r="C199" s="118" t="s">
        <v>744</v>
      </c>
      <c r="D199" s="118" t="s">
        <v>700</v>
      </c>
      <c r="E199" s="118" t="s">
        <v>1552</v>
      </c>
      <c r="F199" s="118">
        <v>5</v>
      </c>
      <c r="G199" s="118">
        <v>1</v>
      </c>
      <c r="H199" s="118" t="s">
        <v>1560</v>
      </c>
      <c r="I199" s="159">
        <v>653.6</v>
      </c>
      <c r="J199" s="159">
        <v>340</v>
      </c>
      <c r="K199" s="160">
        <v>0.16980600000000001</v>
      </c>
      <c r="L199" s="160">
        <v>7.6239999999999997E-3</v>
      </c>
      <c r="M199" s="161">
        <f t="shared" si="15"/>
        <v>0.222224</v>
      </c>
      <c r="N199" s="161">
        <f t="shared" si="16"/>
        <v>5.2417999999999992E-2</v>
      </c>
      <c r="O199" s="121">
        <f t="shared" si="17"/>
        <v>0.23587911296709621</v>
      </c>
      <c r="P199" s="162">
        <f>IF(E199="Hardox 450",INDEX('Sac Parametreleri'!$G$11:$G$24,MATCH(F199,'Sac Parametreleri'!$A$11:$A$24,0)),INDEX('Sac Parametreleri'!$E$11:$E$24,MATCH(F199,'Sac Parametreleri'!$A$11:$A$24,0)))</f>
        <v>31.400000000000002</v>
      </c>
      <c r="Q199" s="162">
        <f>INDEX('Sac Parametreleri'!$F$11:$F$24,MATCH(F199,'Sac Parametreleri'!$A$11:$A$24,0))</f>
        <v>12.845454545454546</v>
      </c>
      <c r="R199" s="163">
        <f t="shared" si="18"/>
        <v>6.3045005636363642</v>
      </c>
      <c r="S199" s="163">
        <f t="shared" si="19"/>
        <v>6.3045005636363642</v>
      </c>
      <c r="T199" s="122">
        <f>K199*F199*'Sac Parametreleri'!$B$6*G199</f>
        <v>6.6648855000000005</v>
      </c>
      <c r="U199" s="122">
        <f>N199*F199*'Sac Parametreleri'!$B$6*G199</f>
        <v>2.0574064999999995</v>
      </c>
      <c r="V199" s="122">
        <f>M199*F199*'Sac Parametreleri'!$B$6*G199</f>
        <v>8.7222920000000013</v>
      </c>
      <c r="W199" s="118" t="s">
        <v>85</v>
      </c>
    </row>
    <row r="200" spans="1:24" ht="15" customHeight="1" x14ac:dyDescent="0.25">
      <c r="A200" s="118" t="s">
        <v>459</v>
      </c>
      <c r="B200" s="118">
        <v>2</v>
      </c>
      <c r="C200" s="118" t="s">
        <v>745</v>
      </c>
      <c r="D200" s="118" t="s">
        <v>700</v>
      </c>
      <c r="E200" s="118" t="s">
        <v>1552</v>
      </c>
      <c r="F200" s="118">
        <v>5</v>
      </c>
      <c r="G200" s="118">
        <v>1</v>
      </c>
      <c r="H200" s="118" t="s">
        <v>1553</v>
      </c>
      <c r="I200" s="159">
        <v>458</v>
      </c>
      <c r="J200" s="159">
        <v>67.5</v>
      </c>
      <c r="K200" s="160">
        <v>3.0825000000000002E-2</v>
      </c>
      <c r="L200" s="160">
        <v>0</v>
      </c>
      <c r="M200" s="161">
        <f t="shared" si="15"/>
        <v>3.0915000000000002E-2</v>
      </c>
      <c r="N200" s="161">
        <f t="shared" si="16"/>
        <v>8.9999999999999802E-5</v>
      </c>
      <c r="O200" s="121">
        <f t="shared" si="17"/>
        <v>2.9112081513828175E-3</v>
      </c>
      <c r="P200" s="162">
        <f>IF(E200="Hardox 450",INDEX('Sac Parametreleri'!$G$11:$G$24,MATCH(F200,'Sac Parametreleri'!$A$11:$A$24,0)),INDEX('Sac Parametreleri'!$E$11:$E$24,MATCH(F200,'Sac Parametreleri'!$A$11:$A$24,0)))</f>
        <v>31.400000000000002</v>
      </c>
      <c r="Q200" s="162">
        <f>INDEX('Sac Parametreleri'!$F$11:$F$24,MATCH(F200,'Sac Parametreleri'!$A$11:$A$24,0))</f>
        <v>12.845454545454546</v>
      </c>
      <c r="R200" s="163">
        <f t="shared" si="18"/>
        <v>0.96957490909090926</v>
      </c>
      <c r="S200" s="163">
        <f t="shared" si="19"/>
        <v>0.96957490909090926</v>
      </c>
      <c r="T200" s="122">
        <f>K200*F200*'Sac Parametreleri'!$B$6*G200</f>
        <v>1.20988125</v>
      </c>
      <c r="U200" s="122">
        <f>N200*F200*'Sac Parametreleri'!$B$6*G200</f>
        <v>3.5324999999999922E-3</v>
      </c>
      <c r="V200" s="122">
        <f>M200*F200*'Sac Parametreleri'!$B$6*G200</f>
        <v>1.2134137500000002</v>
      </c>
      <c r="W200" s="118" t="s">
        <v>85</v>
      </c>
    </row>
    <row r="201" spans="1:24" ht="15" customHeight="1" x14ac:dyDescent="0.25">
      <c r="A201" s="118" t="s">
        <v>459</v>
      </c>
      <c r="B201" s="118">
        <v>3</v>
      </c>
      <c r="C201" s="118" t="s">
        <v>746</v>
      </c>
      <c r="D201" s="118" t="s">
        <v>700</v>
      </c>
      <c r="E201" s="118" t="s">
        <v>1552</v>
      </c>
      <c r="F201" s="118">
        <v>5</v>
      </c>
      <c r="G201" s="118">
        <v>1</v>
      </c>
      <c r="H201" s="118" t="s">
        <v>1553</v>
      </c>
      <c r="I201" s="159">
        <v>95</v>
      </c>
      <c r="J201" s="159">
        <v>87</v>
      </c>
      <c r="K201" s="160">
        <v>5.3249999999999999E-3</v>
      </c>
      <c r="L201" s="160">
        <v>1.8599999999999999E-4</v>
      </c>
      <c r="M201" s="161">
        <f t="shared" si="15"/>
        <v>8.2649999999999998E-3</v>
      </c>
      <c r="N201" s="161">
        <f t="shared" si="16"/>
        <v>2.9399999999999999E-3</v>
      </c>
      <c r="O201" s="121">
        <f t="shared" si="17"/>
        <v>0.35571687840290384</v>
      </c>
      <c r="P201" s="162">
        <f>IF(E201="Hardox 450",INDEX('Sac Parametreleri'!$G$11:$G$24,MATCH(F201,'Sac Parametreleri'!$A$11:$A$24,0)),INDEX('Sac Parametreleri'!$E$11:$E$24,MATCH(F201,'Sac Parametreleri'!$A$11:$A$24,0)))</f>
        <v>31.400000000000002</v>
      </c>
      <c r="Q201" s="162">
        <f>INDEX('Sac Parametreleri'!$F$11:$F$24,MATCH(F201,'Sac Parametreleri'!$A$11:$A$24,0))</f>
        <v>12.845454545454546</v>
      </c>
      <c r="R201" s="163">
        <f t="shared" si="18"/>
        <v>0.22175536363636364</v>
      </c>
      <c r="S201" s="163">
        <f t="shared" si="19"/>
        <v>0.22175536363636364</v>
      </c>
      <c r="T201" s="122">
        <f>K201*F201*'Sac Parametreleri'!$B$6*G201</f>
        <v>0.20900624999999998</v>
      </c>
      <c r="U201" s="122">
        <f>N201*F201*'Sac Parametreleri'!$B$6*G201</f>
        <v>0.115395</v>
      </c>
      <c r="V201" s="122">
        <f>M201*F201*'Sac Parametreleri'!$B$6*G201</f>
        <v>0.32440124999999997</v>
      </c>
      <c r="W201" s="118" t="s">
        <v>85</v>
      </c>
    </row>
    <row r="202" spans="1:24" ht="15" customHeight="1" x14ac:dyDescent="0.25">
      <c r="A202" s="118" t="s">
        <v>459</v>
      </c>
      <c r="B202" s="118">
        <v>4</v>
      </c>
      <c r="C202" s="118" t="s">
        <v>747</v>
      </c>
      <c r="D202" s="118" t="s">
        <v>700</v>
      </c>
      <c r="E202" s="118" t="s">
        <v>1552</v>
      </c>
      <c r="F202" s="118">
        <v>5</v>
      </c>
      <c r="G202" s="118">
        <v>1</v>
      </c>
      <c r="H202" s="118" t="s">
        <v>1553</v>
      </c>
      <c r="I202" s="159">
        <v>95</v>
      </c>
      <c r="J202" s="159">
        <v>87</v>
      </c>
      <c r="K202" s="160">
        <v>5.326E-3</v>
      </c>
      <c r="L202" s="160">
        <v>1.8599999999999999E-4</v>
      </c>
      <c r="M202" s="161">
        <f t="shared" si="15"/>
        <v>8.2649999999999998E-3</v>
      </c>
      <c r="N202" s="161">
        <f t="shared" si="16"/>
        <v>2.9389999999999998E-3</v>
      </c>
      <c r="O202" s="121">
        <f t="shared" si="17"/>
        <v>0.35559588626739258</v>
      </c>
      <c r="P202" s="162">
        <f>IF(E202="Hardox 450",INDEX('Sac Parametreleri'!$G$11:$G$24,MATCH(F202,'Sac Parametreleri'!$A$11:$A$24,0)),INDEX('Sac Parametreleri'!$E$11:$E$24,MATCH(F202,'Sac Parametreleri'!$A$11:$A$24,0)))</f>
        <v>31.400000000000002</v>
      </c>
      <c r="Q202" s="162">
        <f>INDEX('Sac Parametreleri'!$F$11:$F$24,MATCH(F202,'Sac Parametreleri'!$A$11:$A$24,0))</f>
        <v>12.845454545454546</v>
      </c>
      <c r="R202" s="163">
        <f t="shared" si="18"/>
        <v>0.22176820909090911</v>
      </c>
      <c r="S202" s="163">
        <f t="shared" si="19"/>
        <v>0.22176820909090911</v>
      </c>
      <c r="T202" s="122">
        <f>K202*F202*'Sac Parametreleri'!$B$6*G202</f>
        <v>0.2090455</v>
      </c>
      <c r="U202" s="122">
        <f>N202*F202*'Sac Parametreleri'!$B$6*G202</f>
        <v>0.11535574999999999</v>
      </c>
      <c r="V202" s="122">
        <f>M202*F202*'Sac Parametreleri'!$B$6*G202</f>
        <v>0.32440124999999997</v>
      </c>
      <c r="W202" s="118" t="s">
        <v>85</v>
      </c>
    </row>
    <row r="203" spans="1:24" ht="32.25" customHeight="1" x14ac:dyDescent="0.25">
      <c r="A203" s="125" t="s">
        <v>603</v>
      </c>
      <c r="B203" s="125">
        <v>1</v>
      </c>
      <c r="C203" s="125" t="s">
        <v>1701</v>
      </c>
      <c r="D203" s="125" t="s">
        <v>700</v>
      </c>
      <c r="E203" s="125" t="s">
        <v>1552</v>
      </c>
      <c r="F203" s="125">
        <v>20</v>
      </c>
      <c r="G203" s="125">
        <v>1</v>
      </c>
      <c r="H203" s="125" t="s">
        <v>1670</v>
      </c>
      <c r="I203" s="164">
        <v>197</v>
      </c>
      <c r="J203" s="164">
        <v>154</v>
      </c>
      <c r="K203" s="165">
        <v>3.0266999999999999E-2</v>
      </c>
      <c r="L203" s="165">
        <v>0</v>
      </c>
      <c r="M203" s="166">
        <f t="shared" si="15"/>
        <v>3.0338E-2</v>
      </c>
      <c r="N203" s="166">
        <f t="shared" si="16"/>
        <v>7.1000000000001617E-5</v>
      </c>
      <c r="O203" s="128">
        <f t="shared" si="17"/>
        <v>2.3402992946140685E-3</v>
      </c>
      <c r="P203" s="167">
        <f>IF(E203="Hardox 450",INDEX('Sac Parametreleri'!$G$11:$G$24,MATCH(F203,'Sac Parametreleri'!$A$11:$A$24,0)),INDEX('Sac Parametreleri'!$E$11:$E$24,MATCH(F203,'Sac Parametreleri'!$A$11:$A$24,0)))</f>
        <v>125.60000000000001</v>
      </c>
      <c r="Q203" s="167">
        <f>INDEX('Sac Parametreleri'!$F$11:$F$24,MATCH(F203,'Sac Parametreleri'!$A$11:$A$24,0))</f>
        <v>51.381818181818183</v>
      </c>
      <c r="R203" s="168">
        <f t="shared" si="18"/>
        <v>3.8068046909090909</v>
      </c>
      <c r="S203" s="168">
        <f t="shared" si="19"/>
        <v>3.8068046909090909</v>
      </c>
      <c r="T203" s="129">
        <f>K203*F203*'Sac Parametreleri'!$B$6*G203</f>
        <v>4.751919</v>
      </c>
      <c r="U203" s="129">
        <f>N203*F203*'Sac Parametreleri'!$B$6*G203</f>
        <v>1.1147000000000254E-2</v>
      </c>
      <c r="V203" s="129">
        <f>M203*F203*'Sac Parametreleri'!$B$6*G203</f>
        <v>4.7630659999999994</v>
      </c>
      <c r="W203" s="125" t="s">
        <v>85</v>
      </c>
      <c r="X203" s="169" t="s">
        <v>1702</v>
      </c>
    </row>
    <row r="204" spans="1:24" ht="15" customHeight="1" x14ac:dyDescent="0.25">
      <c r="A204" s="118" t="s">
        <v>603</v>
      </c>
      <c r="B204" s="118">
        <v>2</v>
      </c>
      <c r="C204" s="118" t="s">
        <v>1703</v>
      </c>
      <c r="D204" s="118" t="s">
        <v>700</v>
      </c>
      <c r="E204" s="118" t="s">
        <v>1552</v>
      </c>
      <c r="F204" s="118">
        <v>12</v>
      </c>
      <c r="G204" s="118">
        <v>2</v>
      </c>
      <c r="H204" s="118" t="s">
        <v>1551</v>
      </c>
      <c r="I204" s="159">
        <v>150.1</v>
      </c>
      <c r="J204" s="159">
        <v>29.1</v>
      </c>
      <c r="K204" s="160">
        <v>2.6229999999999999E-3</v>
      </c>
      <c r="L204" s="160">
        <v>0</v>
      </c>
      <c r="M204" s="161">
        <f t="shared" si="15"/>
        <v>4.36791E-3</v>
      </c>
      <c r="N204" s="161">
        <f t="shared" si="16"/>
        <v>1.7449100000000001E-3</v>
      </c>
      <c r="O204" s="121">
        <f t="shared" si="17"/>
        <v>0.39948396372635886</v>
      </c>
      <c r="P204" s="162">
        <f>IF(E204="Hardox 450",INDEX('Sac Parametreleri'!$G$11:$G$24,MATCH(F204,'Sac Parametreleri'!$A$11:$A$24,0)),INDEX('Sac Parametreleri'!$E$11:$E$24,MATCH(F204,'Sac Parametreleri'!$A$11:$A$24,0)))</f>
        <v>75.36</v>
      </c>
      <c r="Q204" s="162">
        <f>INDEX('Sac Parametreleri'!$F$11:$F$24,MATCH(F204,'Sac Parametreleri'!$A$11:$A$24,0))</f>
        <v>30.829090909090905</v>
      </c>
      <c r="R204" s="163">
        <f t="shared" si="18"/>
        <v>0.27537170858181814</v>
      </c>
      <c r="S204" s="163">
        <f t="shared" si="19"/>
        <v>0.55074341716363628</v>
      </c>
      <c r="T204" s="122">
        <f>K204*F204*'Sac Parametreleri'!$B$6*G204</f>
        <v>0.49417319999999992</v>
      </c>
      <c r="U204" s="122">
        <f>N204*F204*'Sac Parametreleri'!$B$6*G204</f>
        <v>0.32874104399999998</v>
      </c>
      <c r="V204" s="122">
        <f>M204*F204*'Sac Parametreleri'!$B$6*G204</f>
        <v>0.82291424400000002</v>
      </c>
      <c r="W204" s="118" t="s">
        <v>85</v>
      </c>
    </row>
    <row r="205" spans="1:24" ht="15" customHeight="1" x14ac:dyDescent="0.25">
      <c r="A205" s="118" t="s">
        <v>603</v>
      </c>
      <c r="B205" s="118">
        <v>3</v>
      </c>
      <c r="C205" s="118" t="s">
        <v>1704</v>
      </c>
      <c r="D205" s="118" t="s">
        <v>700</v>
      </c>
      <c r="E205" s="118" t="s">
        <v>1552</v>
      </c>
      <c r="F205" s="118">
        <v>20</v>
      </c>
      <c r="G205" s="118">
        <v>1</v>
      </c>
      <c r="H205" s="118" t="s">
        <v>1551</v>
      </c>
      <c r="I205" s="159">
        <v>240</v>
      </c>
      <c r="J205" s="159">
        <v>81</v>
      </c>
      <c r="K205" s="160">
        <v>1.9306E-2</v>
      </c>
      <c r="L205" s="160">
        <v>0</v>
      </c>
      <c r="M205" s="161">
        <f t="shared" si="15"/>
        <v>1.9439999999999999E-2</v>
      </c>
      <c r="N205" s="161">
        <f t="shared" si="16"/>
        <v>1.339999999999987E-4</v>
      </c>
      <c r="O205" s="121">
        <f t="shared" si="17"/>
        <v>6.8930041152262716E-3</v>
      </c>
      <c r="P205" s="162">
        <f>IF(E205="Hardox 450",INDEX('Sac Parametreleri'!$G$11:$G$24,MATCH(F205,'Sac Parametreleri'!$A$11:$A$24,0)),INDEX('Sac Parametreleri'!$E$11:$E$24,MATCH(F205,'Sac Parametreleri'!$A$11:$A$24,0)))</f>
        <v>125.60000000000001</v>
      </c>
      <c r="Q205" s="162">
        <f>INDEX('Sac Parametreleri'!$F$11:$F$24,MATCH(F205,'Sac Parametreleri'!$A$11:$A$24,0))</f>
        <v>51.381818181818183</v>
      </c>
      <c r="R205" s="163">
        <f t="shared" si="18"/>
        <v>2.4347788363636362</v>
      </c>
      <c r="S205" s="163">
        <f t="shared" si="19"/>
        <v>2.4347788363636362</v>
      </c>
      <c r="T205" s="122">
        <f>K205*F205*'Sac Parametreleri'!$B$6*G205</f>
        <v>3.0310419999999998</v>
      </c>
      <c r="U205" s="122">
        <f>N205*F205*'Sac Parametreleri'!$B$6*G205</f>
        <v>2.1037999999999796E-2</v>
      </c>
      <c r="V205" s="122">
        <f>M205*F205*'Sac Parametreleri'!$B$6*G205</f>
        <v>3.0520799999999997</v>
      </c>
      <c r="W205" s="118" t="s">
        <v>85</v>
      </c>
    </row>
    <row r="206" spans="1:24" ht="32.25" customHeight="1" x14ac:dyDescent="0.25">
      <c r="A206" s="125" t="s">
        <v>513</v>
      </c>
      <c r="B206" s="125">
        <v>1</v>
      </c>
      <c r="C206" s="125" t="s">
        <v>1705</v>
      </c>
      <c r="D206" s="125" t="s">
        <v>700</v>
      </c>
      <c r="E206" s="125" t="s">
        <v>1552</v>
      </c>
      <c r="F206" s="125">
        <v>20</v>
      </c>
      <c r="G206" s="125">
        <v>1</v>
      </c>
      <c r="H206" s="125" t="s">
        <v>1670</v>
      </c>
      <c r="I206" s="164">
        <v>197</v>
      </c>
      <c r="J206" s="164">
        <v>140</v>
      </c>
      <c r="K206" s="165">
        <v>2.7465E-2</v>
      </c>
      <c r="L206" s="165">
        <v>0</v>
      </c>
      <c r="M206" s="166">
        <f t="shared" si="15"/>
        <v>2.758E-2</v>
      </c>
      <c r="N206" s="166">
        <f t="shared" si="16"/>
        <v>1.1500000000000052E-4</v>
      </c>
      <c r="O206" s="128">
        <f t="shared" si="17"/>
        <v>4.1696881798404832E-3</v>
      </c>
      <c r="P206" s="167">
        <f>IF(E206="Hardox 450",INDEX('Sac Parametreleri'!$G$11:$G$24,MATCH(F206,'Sac Parametreleri'!$A$11:$A$24,0)),INDEX('Sac Parametreleri'!$E$11:$E$24,MATCH(F206,'Sac Parametreleri'!$A$11:$A$24,0)))</f>
        <v>125.60000000000001</v>
      </c>
      <c r="Q206" s="167">
        <f>INDEX('Sac Parametreleri'!$F$11:$F$24,MATCH(F206,'Sac Parametreleri'!$A$11:$A$24,0))</f>
        <v>51.381818181818183</v>
      </c>
      <c r="R206" s="168">
        <f t="shared" si="18"/>
        <v>3.4581390909090914</v>
      </c>
      <c r="S206" s="168">
        <f t="shared" si="19"/>
        <v>3.4581390909090914</v>
      </c>
      <c r="T206" s="129">
        <f>K206*F206*'Sac Parametreleri'!$B$6*G206</f>
        <v>4.3120050000000001</v>
      </c>
      <c r="U206" s="129">
        <f>N206*F206*'Sac Parametreleri'!$B$6*G206</f>
        <v>1.8055000000000081E-2</v>
      </c>
      <c r="V206" s="129">
        <f>M206*F206*'Sac Parametreleri'!$B$6*G206</f>
        <v>4.3300599999999996</v>
      </c>
      <c r="W206" s="125" t="s">
        <v>85</v>
      </c>
      <c r="X206" s="169" t="s">
        <v>1706</v>
      </c>
    </row>
    <row r="207" spans="1:24" ht="15" customHeight="1" x14ac:dyDescent="0.25">
      <c r="A207" s="118" t="s">
        <v>513</v>
      </c>
      <c r="B207" s="118">
        <v>2</v>
      </c>
      <c r="C207" s="118" t="s">
        <v>1707</v>
      </c>
      <c r="D207" s="118" t="s">
        <v>700</v>
      </c>
      <c r="E207" s="118" t="s">
        <v>1552</v>
      </c>
      <c r="F207" s="118">
        <v>12</v>
      </c>
      <c r="G207" s="118">
        <v>2</v>
      </c>
      <c r="H207" s="118" t="s">
        <v>1551</v>
      </c>
      <c r="I207" s="159">
        <v>157.9</v>
      </c>
      <c r="J207" s="159">
        <v>51.4</v>
      </c>
      <c r="K207" s="160">
        <v>5.0379999999999999E-3</v>
      </c>
      <c r="L207" s="160">
        <v>0</v>
      </c>
      <c r="M207" s="161">
        <f t="shared" si="15"/>
        <v>8.1160599999999996E-3</v>
      </c>
      <c r="N207" s="161">
        <f t="shared" si="16"/>
        <v>3.0780599999999997E-3</v>
      </c>
      <c r="O207" s="121">
        <f t="shared" si="17"/>
        <v>0.37925545153682944</v>
      </c>
      <c r="P207" s="162">
        <f>IF(E207="Hardox 450",INDEX('Sac Parametreleri'!$G$11:$G$24,MATCH(F207,'Sac Parametreleri'!$A$11:$A$24,0)),INDEX('Sac Parametreleri'!$E$11:$E$24,MATCH(F207,'Sac Parametreleri'!$A$11:$A$24,0)))</f>
        <v>75.36</v>
      </c>
      <c r="Q207" s="162">
        <f>INDEX('Sac Parametreleri'!$F$11:$F$24,MATCH(F207,'Sac Parametreleri'!$A$11:$A$24,0))</f>
        <v>30.829090909090905</v>
      </c>
      <c r="R207" s="163">
        <f t="shared" si="18"/>
        <v>0.51673249003636368</v>
      </c>
      <c r="S207" s="163">
        <f t="shared" si="19"/>
        <v>1.0334649800727274</v>
      </c>
      <c r="T207" s="122">
        <f>K207*F207*'Sac Parametreleri'!$B$6*G207</f>
        <v>0.94915919999999987</v>
      </c>
      <c r="U207" s="122">
        <f>N207*F207*'Sac Parametreleri'!$B$6*G207</f>
        <v>0.57990650399999988</v>
      </c>
      <c r="V207" s="122">
        <f>M207*F207*'Sac Parametreleri'!$B$6*G207</f>
        <v>1.5290657039999997</v>
      </c>
      <c r="W207" s="118" t="s">
        <v>85</v>
      </c>
    </row>
    <row r="208" spans="1:24" ht="15" customHeight="1" x14ac:dyDescent="0.25">
      <c r="A208" s="118" t="s">
        <v>513</v>
      </c>
      <c r="B208" s="118">
        <v>3</v>
      </c>
      <c r="C208" s="118" t="s">
        <v>1708</v>
      </c>
      <c r="D208" s="118" t="s">
        <v>700</v>
      </c>
      <c r="E208" s="118" t="s">
        <v>1552</v>
      </c>
      <c r="F208" s="118">
        <v>20</v>
      </c>
      <c r="G208" s="118">
        <v>1</v>
      </c>
      <c r="H208" s="118" t="s">
        <v>1551</v>
      </c>
      <c r="I208" s="159">
        <v>240</v>
      </c>
      <c r="J208" s="159">
        <v>78</v>
      </c>
      <c r="K208" s="160">
        <v>1.8720000000000001E-2</v>
      </c>
      <c r="L208" s="160">
        <v>0</v>
      </c>
      <c r="M208" s="161">
        <f t="shared" si="15"/>
        <v>1.8720000000000001E-2</v>
      </c>
      <c r="N208" s="161">
        <f t="shared" si="16"/>
        <v>0</v>
      </c>
      <c r="O208" s="121">
        <f t="shared" si="17"/>
        <v>0</v>
      </c>
      <c r="P208" s="162">
        <f>IF(E208="Hardox 450",INDEX('Sac Parametreleri'!$G$11:$G$24,MATCH(F208,'Sac Parametreleri'!$A$11:$A$24,0)),INDEX('Sac Parametreleri'!$E$11:$E$24,MATCH(F208,'Sac Parametreleri'!$A$11:$A$24,0)))</f>
        <v>125.60000000000001</v>
      </c>
      <c r="Q208" s="162">
        <f>INDEX('Sac Parametreleri'!$F$11:$F$24,MATCH(F208,'Sac Parametreleri'!$A$11:$A$24,0))</f>
        <v>51.381818181818183</v>
      </c>
      <c r="R208" s="163">
        <f t="shared" si="18"/>
        <v>2.3512320000000004</v>
      </c>
      <c r="S208" s="163">
        <f t="shared" si="19"/>
        <v>2.3512320000000004</v>
      </c>
      <c r="T208" s="122">
        <f>K208*F208*'Sac Parametreleri'!$B$6*G208</f>
        <v>2.9390399999999999</v>
      </c>
      <c r="U208" s="122">
        <f>N208*F208*'Sac Parametreleri'!$B$6*G208</f>
        <v>0</v>
      </c>
      <c r="V208" s="122">
        <f>M208*F208*'Sac Parametreleri'!$B$6*G208</f>
        <v>2.9390399999999999</v>
      </c>
      <c r="W208" s="118" t="s">
        <v>85</v>
      </c>
    </row>
    <row r="209" spans="1:24" ht="15" customHeight="1" x14ac:dyDescent="0.25">
      <c r="A209" s="118" t="s">
        <v>585</v>
      </c>
      <c r="B209" s="118">
        <v>1</v>
      </c>
      <c r="C209" s="118" t="s">
        <v>927</v>
      </c>
      <c r="D209" s="118" t="s">
        <v>928</v>
      </c>
      <c r="E209" s="118" t="s">
        <v>1552</v>
      </c>
      <c r="F209" s="118">
        <v>6</v>
      </c>
      <c r="G209" s="118">
        <v>1</v>
      </c>
      <c r="H209" s="118" t="s">
        <v>1575</v>
      </c>
      <c r="I209" s="159">
        <v>491</v>
      </c>
      <c r="J209" s="159">
        <v>345.9</v>
      </c>
      <c r="K209" s="160">
        <v>0.13017899999999999</v>
      </c>
      <c r="L209" s="160">
        <v>1.6011000000000001E-2</v>
      </c>
      <c r="M209" s="161">
        <f t="shared" si="15"/>
        <v>0.16983689999999999</v>
      </c>
      <c r="N209" s="161">
        <f t="shared" si="16"/>
        <v>3.9657899999999996E-2</v>
      </c>
      <c r="O209" s="121">
        <f t="shared" si="17"/>
        <v>0.23350579291072787</v>
      </c>
      <c r="P209" s="162">
        <f>IF(E209="Hardox 450",INDEX('Sac Parametreleri'!$G$11:$G$24,MATCH(F209,'Sac Parametreleri'!$A$11:$A$24,0)),INDEX('Sac Parametreleri'!$E$11:$E$24,MATCH(F209,'Sac Parametreleri'!$A$11:$A$24,0)))</f>
        <v>37.68</v>
      </c>
      <c r="Q209" s="162">
        <f>INDEX('Sac Parametreleri'!$F$11:$F$24,MATCH(F209,'Sac Parametreleri'!$A$11:$A$24,0))</f>
        <v>15.414545454545452</v>
      </c>
      <c r="R209" s="163">
        <f t="shared" si="18"/>
        <v>5.788145889818181</v>
      </c>
      <c r="S209" s="163">
        <f t="shared" si="19"/>
        <v>5.788145889818181</v>
      </c>
      <c r="T209" s="122">
        <f>K209*F209*'Sac Parametreleri'!$B$6*G209</f>
        <v>6.1314308999999989</v>
      </c>
      <c r="U209" s="122">
        <f>N209*F209*'Sac Parametreleri'!$B$6*G209</f>
        <v>1.8678870899999998</v>
      </c>
      <c r="V209" s="122">
        <f>M209*F209*'Sac Parametreleri'!$B$6*G209</f>
        <v>7.9993179899999998</v>
      </c>
      <c r="W209" s="118" t="s">
        <v>85</v>
      </c>
    </row>
    <row r="210" spans="1:24" ht="15" customHeight="1" x14ac:dyDescent="0.25">
      <c r="A210" s="118" t="s">
        <v>585</v>
      </c>
      <c r="B210" s="118">
        <v>2</v>
      </c>
      <c r="C210" s="118" t="s">
        <v>1709</v>
      </c>
      <c r="D210" s="118" t="s">
        <v>1710</v>
      </c>
      <c r="E210" s="118" t="s">
        <v>1552</v>
      </c>
      <c r="F210" s="118">
        <v>8</v>
      </c>
      <c r="G210" s="118">
        <v>2</v>
      </c>
      <c r="H210" s="118" t="s">
        <v>1551</v>
      </c>
      <c r="I210" s="159">
        <v>225.7</v>
      </c>
      <c r="J210" s="159">
        <v>103.4</v>
      </c>
      <c r="K210" s="160">
        <v>1.2538000000000001E-2</v>
      </c>
      <c r="L210" s="160">
        <v>0</v>
      </c>
      <c r="M210" s="161">
        <f t="shared" si="15"/>
        <v>2.3337380000000001E-2</v>
      </c>
      <c r="N210" s="161">
        <f t="shared" si="16"/>
        <v>1.0799380000000001E-2</v>
      </c>
      <c r="O210" s="121">
        <f t="shared" si="17"/>
        <v>0.46275031730211363</v>
      </c>
      <c r="P210" s="162">
        <f>IF(E210="Hardox 450",INDEX('Sac Parametreleri'!$G$11:$G$24,MATCH(F210,'Sac Parametreleri'!$A$11:$A$24,0)),INDEX('Sac Parametreleri'!$E$11:$E$24,MATCH(F210,'Sac Parametreleri'!$A$11:$A$24,0)))</f>
        <v>50.24</v>
      </c>
      <c r="Q210" s="162">
        <f>INDEX('Sac Parametreleri'!$F$11:$F$24,MATCH(F210,'Sac Parametreleri'!$A$11:$A$24,0))</f>
        <v>20.552727272727271</v>
      </c>
      <c r="R210" s="163">
        <f t="shared" si="18"/>
        <v>0.95051325934545472</v>
      </c>
      <c r="S210" s="163">
        <f t="shared" si="19"/>
        <v>1.9010265186909094</v>
      </c>
      <c r="T210" s="122">
        <f>K210*F210*'Sac Parametreleri'!$B$6*G210</f>
        <v>1.5747728000000001</v>
      </c>
      <c r="U210" s="122">
        <f>N210*F210*'Sac Parametreleri'!$B$6*G210</f>
        <v>1.356402128</v>
      </c>
      <c r="V210" s="122">
        <f>M210*F210*'Sac Parametreleri'!$B$6*G210</f>
        <v>2.9311749279999999</v>
      </c>
      <c r="W210" s="118" t="s">
        <v>85</v>
      </c>
    </row>
    <row r="211" spans="1:24" ht="15" customHeight="1" x14ac:dyDescent="0.25">
      <c r="A211" s="118" t="s">
        <v>470</v>
      </c>
      <c r="B211" s="118">
        <v>1</v>
      </c>
      <c r="C211" s="118" t="s">
        <v>921</v>
      </c>
      <c r="D211" s="118" t="s">
        <v>922</v>
      </c>
      <c r="E211" s="118" t="s">
        <v>1552</v>
      </c>
      <c r="F211" s="118">
        <v>6</v>
      </c>
      <c r="G211" s="118">
        <v>1</v>
      </c>
      <c r="H211" s="118" t="s">
        <v>1553</v>
      </c>
      <c r="I211" s="159">
        <v>972.7</v>
      </c>
      <c r="J211" s="159">
        <v>587.4</v>
      </c>
      <c r="K211" s="160">
        <v>0.151003</v>
      </c>
      <c r="L211" s="160">
        <v>2.0669999999999998E-3</v>
      </c>
      <c r="M211" s="161">
        <f t="shared" si="15"/>
        <v>0.57136397999999999</v>
      </c>
      <c r="N211" s="161">
        <f t="shared" si="16"/>
        <v>0.42036098</v>
      </c>
      <c r="O211" s="121">
        <f t="shared" si="17"/>
        <v>0.73571487653106871</v>
      </c>
      <c r="P211" s="162">
        <f>IF(E211="Hardox 450",INDEX('Sac Parametreleri'!$G$11:$G$24,MATCH(F211,'Sac Parametreleri'!$A$11:$A$24,0)),INDEX('Sac Parametreleri'!$E$11:$E$24,MATCH(F211,'Sac Parametreleri'!$A$11:$A$24,0)))</f>
        <v>37.68</v>
      </c>
      <c r="Q211" s="162">
        <f>INDEX('Sac Parametreleri'!$F$11:$F$24,MATCH(F211,'Sac Parametreleri'!$A$11:$A$24,0))</f>
        <v>15.414545454545452</v>
      </c>
      <c r="R211" s="163">
        <f t="shared" si="18"/>
        <v>15.049321332872729</v>
      </c>
      <c r="S211" s="163">
        <f t="shared" si="19"/>
        <v>15.049321332872729</v>
      </c>
      <c r="T211" s="122">
        <f>K211*F211*'Sac Parametreleri'!$B$6*G211</f>
        <v>7.1122413</v>
      </c>
      <c r="U211" s="122">
        <f>N211*F211*'Sac Parametreleri'!$B$6*G211</f>
        <v>19.799002158</v>
      </c>
      <c r="V211" s="122">
        <f>M211*F211*'Sac Parametreleri'!$B$6*G211</f>
        <v>26.911243457999998</v>
      </c>
      <c r="W211" s="118" t="s">
        <v>85</v>
      </c>
    </row>
    <row r="212" spans="1:24" ht="15" customHeight="1" x14ac:dyDescent="0.25">
      <c r="A212" s="118" t="s">
        <v>470</v>
      </c>
      <c r="B212" s="118">
        <v>2</v>
      </c>
      <c r="C212" s="118" t="s">
        <v>1711</v>
      </c>
      <c r="D212" s="118" t="s">
        <v>1712</v>
      </c>
      <c r="E212" s="118" t="s">
        <v>1552</v>
      </c>
      <c r="F212" s="118">
        <v>4</v>
      </c>
      <c r="G212" s="118">
        <v>1</v>
      </c>
      <c r="H212" s="118" t="s">
        <v>1551</v>
      </c>
      <c r="I212" s="159">
        <v>587.20000000000005</v>
      </c>
      <c r="J212" s="159">
        <v>90.3</v>
      </c>
      <c r="K212" s="160">
        <v>3.6493999999999999E-2</v>
      </c>
      <c r="L212" s="160">
        <v>0</v>
      </c>
      <c r="M212" s="161">
        <f t="shared" si="15"/>
        <v>5.3024160000000001E-2</v>
      </c>
      <c r="N212" s="161">
        <f t="shared" si="16"/>
        <v>1.6530160000000002E-2</v>
      </c>
      <c r="O212" s="121">
        <f t="shared" si="17"/>
        <v>0.31174770142516167</v>
      </c>
      <c r="P212" s="162">
        <f>IF(E212="Hardox 450",INDEX('Sac Parametreleri'!$G$11:$G$24,MATCH(F212,'Sac Parametreleri'!$A$11:$A$24,0)),INDEX('Sac Parametreleri'!$E$11:$E$24,MATCH(F212,'Sac Parametreleri'!$A$11:$A$24,0)))</f>
        <v>25.12</v>
      </c>
      <c r="Q212" s="162">
        <f>INDEX('Sac Parametreleri'!$F$11:$F$24,MATCH(F212,'Sac Parametreleri'!$A$11:$A$24,0))</f>
        <v>10.276363636363635</v>
      </c>
      <c r="R212" s="163">
        <f t="shared" si="18"/>
        <v>1.1620969640727272</v>
      </c>
      <c r="S212" s="163">
        <f t="shared" si="19"/>
        <v>1.1620969640727272</v>
      </c>
      <c r="T212" s="122">
        <f>K212*F212*'Sac Parametreleri'!$B$6*G212</f>
        <v>1.1459115999999998</v>
      </c>
      <c r="U212" s="122">
        <f>N212*F212*'Sac Parametreleri'!$B$6*G212</f>
        <v>0.51904702400000002</v>
      </c>
      <c r="V212" s="122">
        <f>M212*F212*'Sac Parametreleri'!$B$6*G212</f>
        <v>1.6649586240000001</v>
      </c>
      <c r="W212" s="118" t="s">
        <v>85</v>
      </c>
    </row>
    <row r="213" spans="1:24" ht="15" customHeight="1" x14ac:dyDescent="0.25">
      <c r="A213" s="118" t="s">
        <v>470</v>
      </c>
      <c r="B213" s="118">
        <v>3</v>
      </c>
      <c r="C213" s="118" t="s">
        <v>1713</v>
      </c>
      <c r="D213" s="118" t="s">
        <v>700</v>
      </c>
      <c r="E213" s="118" t="s">
        <v>1552</v>
      </c>
      <c r="F213" s="118">
        <v>4</v>
      </c>
      <c r="G213" s="118">
        <v>1</v>
      </c>
      <c r="H213" s="118" t="s">
        <v>1551</v>
      </c>
      <c r="I213" s="159">
        <v>374</v>
      </c>
      <c r="J213" s="159">
        <v>50</v>
      </c>
      <c r="K213" s="160">
        <v>1.865E-2</v>
      </c>
      <c r="L213" s="160">
        <v>0</v>
      </c>
      <c r="M213" s="161">
        <f t="shared" si="15"/>
        <v>1.8700000000000001E-2</v>
      </c>
      <c r="N213" s="161">
        <f t="shared" si="16"/>
        <v>5.0000000000001432E-5</v>
      </c>
      <c r="O213" s="121">
        <f t="shared" si="17"/>
        <v>2.6737967914439269E-3</v>
      </c>
      <c r="P213" s="162">
        <f>IF(E213="Hardox 450",INDEX('Sac Parametreleri'!$G$11:$G$24,MATCH(F213,'Sac Parametreleri'!$A$11:$A$24,0)),INDEX('Sac Parametreleri'!$E$11:$E$24,MATCH(F213,'Sac Parametreleri'!$A$11:$A$24,0)))</f>
        <v>25.12</v>
      </c>
      <c r="Q213" s="162">
        <f>INDEX('Sac Parametreleri'!$F$11:$F$24,MATCH(F213,'Sac Parametreleri'!$A$11:$A$24,0))</f>
        <v>10.276363636363635</v>
      </c>
      <c r="R213" s="163">
        <f t="shared" si="18"/>
        <v>0.46923018181818188</v>
      </c>
      <c r="S213" s="163">
        <f t="shared" si="19"/>
        <v>0.46923018181818188</v>
      </c>
      <c r="T213" s="122">
        <f>K213*F213*'Sac Parametreleri'!$B$6*G213</f>
        <v>0.58560999999999996</v>
      </c>
      <c r="U213" s="122">
        <f>N213*F213*'Sac Parametreleri'!$B$6*G213</f>
        <v>1.5700000000000449E-3</v>
      </c>
      <c r="V213" s="122">
        <f>M213*F213*'Sac Parametreleri'!$B$6*G213</f>
        <v>0.58718000000000004</v>
      </c>
      <c r="W213" s="118" t="s">
        <v>85</v>
      </c>
    </row>
    <row r="214" spans="1:24" ht="15" customHeight="1" x14ac:dyDescent="0.25">
      <c r="A214" s="118" t="s">
        <v>470</v>
      </c>
      <c r="B214" s="118">
        <v>4</v>
      </c>
      <c r="C214" s="118" t="s">
        <v>1714</v>
      </c>
      <c r="D214" s="118" t="s">
        <v>1715</v>
      </c>
      <c r="E214" s="118" t="s">
        <v>1552</v>
      </c>
      <c r="F214" s="118">
        <v>4</v>
      </c>
      <c r="G214" s="118">
        <v>1</v>
      </c>
      <c r="H214" s="118" t="s">
        <v>1551</v>
      </c>
      <c r="I214" s="159">
        <v>397.5</v>
      </c>
      <c r="J214" s="159">
        <v>103.5</v>
      </c>
      <c r="K214" s="160">
        <v>3.0346999999999999E-2</v>
      </c>
      <c r="L214" s="160">
        <v>0</v>
      </c>
      <c r="M214" s="161">
        <f t="shared" si="15"/>
        <v>4.1141249999999997E-2</v>
      </c>
      <c r="N214" s="161">
        <f t="shared" si="16"/>
        <v>1.0794249999999998E-2</v>
      </c>
      <c r="O214" s="121">
        <f t="shared" si="17"/>
        <v>0.26237049190289546</v>
      </c>
      <c r="P214" s="162">
        <f>IF(E214="Hardox 450",INDEX('Sac Parametreleri'!$G$11:$G$24,MATCH(F214,'Sac Parametreleri'!$A$11:$A$24,0)),INDEX('Sac Parametreleri'!$E$11:$E$24,MATCH(F214,'Sac Parametreleri'!$A$11:$A$24,0)))</f>
        <v>25.12</v>
      </c>
      <c r="Q214" s="162">
        <f>INDEX('Sac Parametreleri'!$F$11:$F$24,MATCH(F214,'Sac Parametreleri'!$A$11:$A$24,0))</f>
        <v>10.276363636363635</v>
      </c>
      <c r="R214" s="163">
        <f t="shared" si="18"/>
        <v>0.92254256181818184</v>
      </c>
      <c r="S214" s="163">
        <f t="shared" si="19"/>
        <v>0.92254256181818184</v>
      </c>
      <c r="T214" s="122">
        <f>K214*F214*'Sac Parametreleri'!$B$6*G214</f>
        <v>0.95289579999999996</v>
      </c>
      <c r="U214" s="122">
        <f>N214*F214*'Sac Parametreleri'!$B$6*G214</f>
        <v>0.33893944999999992</v>
      </c>
      <c r="V214" s="122">
        <f>M214*F214*'Sac Parametreleri'!$B$6*G214</f>
        <v>1.2918352499999999</v>
      </c>
      <c r="W214" s="118" t="s">
        <v>85</v>
      </c>
    </row>
    <row r="215" spans="1:24" ht="15" customHeight="1" x14ac:dyDescent="0.25">
      <c r="A215" s="118" t="s">
        <v>470</v>
      </c>
      <c r="B215" s="118">
        <v>5</v>
      </c>
      <c r="C215" s="118" t="s">
        <v>1716</v>
      </c>
      <c r="D215" s="118" t="s">
        <v>700</v>
      </c>
      <c r="E215" s="118" t="s">
        <v>1552</v>
      </c>
      <c r="F215" s="118">
        <v>4</v>
      </c>
      <c r="G215" s="118">
        <v>1</v>
      </c>
      <c r="H215" s="118" t="s">
        <v>1551</v>
      </c>
      <c r="I215" s="159">
        <v>306</v>
      </c>
      <c r="J215" s="159">
        <v>50</v>
      </c>
      <c r="K215" s="160">
        <v>1.52E-2</v>
      </c>
      <c r="L215" s="160">
        <v>0</v>
      </c>
      <c r="M215" s="161">
        <f t="shared" si="15"/>
        <v>1.5299999999999999E-2</v>
      </c>
      <c r="N215" s="161">
        <f t="shared" si="16"/>
        <v>9.9999999999999395E-5</v>
      </c>
      <c r="O215" s="121">
        <f t="shared" si="17"/>
        <v>6.535947712418261E-3</v>
      </c>
      <c r="P215" s="162">
        <f>IF(E215="Hardox 450",INDEX('Sac Parametreleri'!$G$11:$G$24,MATCH(F215,'Sac Parametreleri'!$A$11:$A$24,0)),INDEX('Sac Parametreleri'!$E$11:$E$24,MATCH(F215,'Sac Parametreleri'!$A$11:$A$24,0)))</f>
        <v>25.12</v>
      </c>
      <c r="Q215" s="162">
        <f>INDEX('Sac Parametreleri'!$F$11:$F$24,MATCH(F215,'Sac Parametreleri'!$A$11:$A$24,0))</f>
        <v>10.276363636363635</v>
      </c>
      <c r="R215" s="163">
        <f t="shared" si="18"/>
        <v>0.38330836363636367</v>
      </c>
      <c r="S215" s="163">
        <f t="shared" si="19"/>
        <v>0.38330836363636367</v>
      </c>
      <c r="T215" s="122">
        <f>K215*F215*'Sac Parametreleri'!$B$6*G215</f>
        <v>0.47727999999999998</v>
      </c>
      <c r="U215" s="122">
        <f>N215*F215*'Sac Parametreleri'!$B$6*G215</f>
        <v>3.1399999999999809E-3</v>
      </c>
      <c r="V215" s="122">
        <f>M215*F215*'Sac Parametreleri'!$B$6*G215</f>
        <v>0.48041999999999996</v>
      </c>
      <c r="W215" s="118" t="s">
        <v>85</v>
      </c>
    </row>
    <row r="216" spans="1:24" ht="15" customHeight="1" x14ac:dyDescent="0.25">
      <c r="A216" s="118" t="s">
        <v>615</v>
      </c>
      <c r="B216" s="118">
        <v>99</v>
      </c>
      <c r="C216" s="118" t="s">
        <v>752</v>
      </c>
      <c r="D216" s="118" t="s">
        <v>700</v>
      </c>
      <c r="E216" s="118" t="s">
        <v>1552</v>
      </c>
      <c r="F216" s="118">
        <v>6</v>
      </c>
      <c r="G216" s="118">
        <v>1</v>
      </c>
      <c r="H216" s="118" t="s">
        <v>1553</v>
      </c>
      <c r="I216" s="159">
        <v>966.1</v>
      </c>
      <c r="J216" s="159">
        <v>475.4</v>
      </c>
      <c r="K216" s="160">
        <v>0.13452500000000001</v>
      </c>
      <c r="L216" s="160">
        <v>2.0709999999999999E-3</v>
      </c>
      <c r="M216" s="161">
        <f t="shared" si="15"/>
        <v>0.45928394</v>
      </c>
      <c r="N216" s="161">
        <f t="shared" si="16"/>
        <v>0.32475894</v>
      </c>
      <c r="O216" s="121">
        <f t="shared" si="17"/>
        <v>0.70709840191668794</v>
      </c>
      <c r="P216" s="162">
        <f>IF(E216="Hardox 450",INDEX('Sac Parametreleri'!$G$11:$G$24,MATCH(F216,'Sac Parametreleri'!$A$11:$A$24,0)),INDEX('Sac Parametreleri'!$E$11:$E$24,MATCH(F216,'Sac Parametreleri'!$A$11:$A$24,0)))</f>
        <v>37.68</v>
      </c>
      <c r="Q216" s="162">
        <f>INDEX('Sac Parametreleri'!$F$11:$F$24,MATCH(F216,'Sac Parametreleri'!$A$11:$A$24,0))</f>
        <v>15.414545454545452</v>
      </c>
      <c r="R216" s="163">
        <f t="shared" si="18"/>
        <v>12.2998074168</v>
      </c>
      <c r="S216" s="163">
        <f t="shared" si="19"/>
        <v>12.2998074168</v>
      </c>
      <c r="T216" s="122">
        <f>K216*F216*'Sac Parametreleri'!$B$6*G216</f>
        <v>6.3361274999999999</v>
      </c>
      <c r="U216" s="122">
        <f>N216*F216*'Sac Parametreleri'!$B$6*G216</f>
        <v>15.296146073999999</v>
      </c>
      <c r="V216" s="122">
        <f>M216*F216*'Sac Parametreleri'!$B$6*G216</f>
        <v>21.632273573999999</v>
      </c>
      <c r="W216" s="118" t="s">
        <v>85</v>
      </c>
    </row>
    <row r="217" spans="1:24" ht="15" customHeight="1" x14ac:dyDescent="0.25">
      <c r="A217" s="118" t="s">
        <v>615</v>
      </c>
      <c r="B217" s="118">
        <v>99</v>
      </c>
      <c r="C217" s="118" t="s">
        <v>1717</v>
      </c>
      <c r="D217" s="118" t="s">
        <v>416</v>
      </c>
      <c r="E217" s="118" t="s">
        <v>1552</v>
      </c>
      <c r="F217" s="118">
        <v>6</v>
      </c>
      <c r="G217" s="118">
        <v>1</v>
      </c>
      <c r="H217" s="118" t="s">
        <v>1551</v>
      </c>
      <c r="I217" s="159">
        <v>479.1</v>
      </c>
      <c r="J217" s="159">
        <v>90</v>
      </c>
      <c r="K217" s="160">
        <v>3.2097000000000001E-2</v>
      </c>
      <c r="L217" s="160">
        <v>0</v>
      </c>
      <c r="M217" s="161">
        <f t="shared" si="15"/>
        <v>4.3118999999999998E-2</v>
      </c>
      <c r="N217" s="161">
        <f t="shared" si="16"/>
        <v>1.1021999999999997E-2</v>
      </c>
      <c r="O217" s="121">
        <f t="shared" si="17"/>
        <v>0.25561817296319483</v>
      </c>
      <c r="P217" s="162">
        <f>IF(E217="Hardox 450",INDEX('Sac Parametreleri'!$G$11:$G$24,MATCH(F217,'Sac Parametreleri'!$A$11:$A$24,0)),INDEX('Sac Parametreleri'!$E$11:$E$24,MATCH(F217,'Sac Parametreleri'!$A$11:$A$24,0)))</f>
        <v>37.68</v>
      </c>
      <c r="Q217" s="162">
        <f>INDEX('Sac Parametreleri'!$F$11:$F$24,MATCH(F217,'Sac Parametreleri'!$A$11:$A$24,0))</f>
        <v>15.414545454545452</v>
      </c>
      <c r="R217" s="163">
        <f t="shared" si="18"/>
        <v>1.4548247999999999</v>
      </c>
      <c r="S217" s="163">
        <f t="shared" si="19"/>
        <v>1.4548247999999999</v>
      </c>
      <c r="T217" s="122">
        <f>K217*F217*'Sac Parametreleri'!$B$6*G217</f>
        <v>1.5117687</v>
      </c>
      <c r="U217" s="122">
        <f>N217*F217*'Sac Parametreleri'!$B$6*G217</f>
        <v>0.51913619999999983</v>
      </c>
      <c r="V217" s="122">
        <f>M217*F217*'Sac Parametreleri'!$B$6*G217</f>
        <v>2.0309048999999999</v>
      </c>
      <c r="W217" s="118" t="s">
        <v>85</v>
      </c>
    </row>
    <row r="218" spans="1:24" ht="15" customHeight="1" x14ac:dyDescent="0.25">
      <c r="A218" s="118" t="s">
        <v>615</v>
      </c>
      <c r="B218" s="118">
        <v>99</v>
      </c>
      <c r="C218" s="118" t="s">
        <v>1718</v>
      </c>
      <c r="D218" s="118" t="s">
        <v>416</v>
      </c>
      <c r="E218" s="118" t="s">
        <v>1552</v>
      </c>
      <c r="F218" s="118">
        <v>6</v>
      </c>
      <c r="G218" s="118">
        <v>1</v>
      </c>
      <c r="H218" s="118" t="s">
        <v>1551</v>
      </c>
      <c r="I218" s="159">
        <v>304</v>
      </c>
      <c r="J218" s="159">
        <v>50</v>
      </c>
      <c r="K218" s="160">
        <v>1.5100000000000001E-2</v>
      </c>
      <c r="L218" s="160">
        <v>0</v>
      </c>
      <c r="M218" s="161">
        <f t="shared" si="15"/>
        <v>1.52E-2</v>
      </c>
      <c r="N218" s="161">
        <f t="shared" si="16"/>
        <v>9.9999999999999395E-5</v>
      </c>
      <c r="O218" s="121">
        <f t="shared" si="17"/>
        <v>6.5789473684210132E-3</v>
      </c>
      <c r="P218" s="162">
        <f>IF(E218="Hardox 450",INDEX('Sac Parametreleri'!$G$11:$G$24,MATCH(F218,'Sac Parametreleri'!$A$11:$A$24,0)),INDEX('Sac Parametreleri'!$E$11:$E$24,MATCH(F218,'Sac Parametreleri'!$A$11:$A$24,0)))</f>
        <v>37.68</v>
      </c>
      <c r="Q218" s="162">
        <f>INDEX('Sac Parametreleri'!$F$11:$F$24,MATCH(F218,'Sac Parametreleri'!$A$11:$A$24,0))</f>
        <v>15.414545454545452</v>
      </c>
      <c r="R218" s="163">
        <f t="shared" si="18"/>
        <v>0.57119454545454551</v>
      </c>
      <c r="S218" s="163">
        <f t="shared" si="19"/>
        <v>0.57119454545454551</v>
      </c>
      <c r="T218" s="122">
        <f>K218*F218*'Sac Parametreleri'!$B$6*G218</f>
        <v>0.71121000000000001</v>
      </c>
      <c r="U218" s="122">
        <f>N218*F218*'Sac Parametreleri'!$B$6*G218</f>
        <v>4.7099999999999712E-3</v>
      </c>
      <c r="V218" s="122">
        <f>M218*F218*'Sac Parametreleri'!$B$6*G218</f>
        <v>0.71592</v>
      </c>
      <c r="W218" s="118" t="s">
        <v>85</v>
      </c>
    </row>
    <row r="219" spans="1:24" ht="15" customHeight="1" x14ac:dyDescent="0.25">
      <c r="A219" s="118" t="s">
        <v>615</v>
      </c>
      <c r="B219" s="118">
        <v>99</v>
      </c>
      <c r="C219" s="118" t="s">
        <v>1719</v>
      </c>
      <c r="D219" s="118" t="s">
        <v>416</v>
      </c>
      <c r="E219" s="118" t="s">
        <v>1552</v>
      </c>
      <c r="F219" s="118">
        <v>6</v>
      </c>
      <c r="G219" s="118">
        <v>1</v>
      </c>
      <c r="H219" s="118" t="s">
        <v>1551</v>
      </c>
      <c r="I219" s="159">
        <v>292.8</v>
      </c>
      <c r="J219" s="159">
        <v>90</v>
      </c>
      <c r="K219" s="160">
        <v>2.0496E-2</v>
      </c>
      <c r="L219" s="160">
        <v>0</v>
      </c>
      <c r="M219" s="161">
        <f t="shared" si="15"/>
        <v>2.6352E-2</v>
      </c>
      <c r="N219" s="161">
        <f t="shared" si="16"/>
        <v>5.8560000000000001E-3</v>
      </c>
      <c r="O219" s="121">
        <f t="shared" si="17"/>
        <v>0.22222222222222221</v>
      </c>
      <c r="P219" s="162">
        <f>IF(E219="Hardox 450",INDEX('Sac Parametreleri'!$G$11:$G$24,MATCH(F219,'Sac Parametreleri'!$A$11:$A$24,0)),INDEX('Sac Parametreleri'!$E$11:$E$24,MATCH(F219,'Sac Parametreleri'!$A$11:$A$24,0)))</f>
        <v>37.68</v>
      </c>
      <c r="Q219" s="162">
        <f>INDEX('Sac Parametreleri'!$F$11:$F$24,MATCH(F219,'Sac Parametreleri'!$A$11:$A$24,0))</f>
        <v>15.414545454545452</v>
      </c>
      <c r="R219" s="163">
        <f t="shared" si="18"/>
        <v>0.90267578181818187</v>
      </c>
      <c r="S219" s="163">
        <f t="shared" si="19"/>
        <v>0.90267578181818187</v>
      </c>
      <c r="T219" s="122">
        <f>K219*F219*'Sac Parametreleri'!$B$6*G219</f>
        <v>0.96536159999999993</v>
      </c>
      <c r="U219" s="122">
        <f>N219*F219*'Sac Parametreleri'!$B$6*G219</f>
        <v>0.2758176</v>
      </c>
      <c r="V219" s="122">
        <f>M219*F219*'Sac Parametreleri'!$B$6*G219</f>
        <v>1.2411791999999999</v>
      </c>
      <c r="W219" s="118" t="s">
        <v>85</v>
      </c>
    </row>
    <row r="220" spans="1:24" ht="32.25" customHeight="1" x14ac:dyDescent="0.25">
      <c r="A220" s="125" t="s">
        <v>512</v>
      </c>
      <c r="B220" s="125">
        <v>99</v>
      </c>
      <c r="C220" s="125" t="s">
        <v>1720</v>
      </c>
      <c r="D220" s="125" t="s">
        <v>416</v>
      </c>
      <c r="E220" s="125" t="s">
        <v>1552</v>
      </c>
      <c r="F220" s="125">
        <v>20</v>
      </c>
      <c r="G220" s="125">
        <v>1</v>
      </c>
      <c r="H220" s="125" t="s">
        <v>1670</v>
      </c>
      <c r="I220" s="164">
        <v>190</v>
      </c>
      <c r="J220" s="164">
        <v>148</v>
      </c>
      <c r="K220" s="165">
        <v>2.8017E-2</v>
      </c>
      <c r="L220" s="165">
        <v>0</v>
      </c>
      <c r="M220" s="166">
        <f t="shared" si="15"/>
        <v>2.8119999999999999E-2</v>
      </c>
      <c r="N220" s="166">
        <f t="shared" si="16"/>
        <v>1.0299999999999893E-4</v>
      </c>
      <c r="O220" s="128">
        <f t="shared" si="17"/>
        <v>3.662873399715467E-3</v>
      </c>
      <c r="P220" s="167">
        <f>IF(E220="Hardox 450",INDEX('Sac Parametreleri'!$G$11:$G$24,MATCH(F220,'Sac Parametreleri'!$A$11:$A$24,0)),INDEX('Sac Parametreleri'!$E$11:$E$24,MATCH(F220,'Sac Parametreleri'!$A$11:$A$24,0)))</f>
        <v>125.60000000000001</v>
      </c>
      <c r="Q220" s="167">
        <f>INDEX('Sac Parametreleri'!$F$11:$F$24,MATCH(F220,'Sac Parametreleri'!$A$11:$A$24,0))</f>
        <v>51.381818181818183</v>
      </c>
      <c r="R220" s="168">
        <f t="shared" si="18"/>
        <v>3.5265796727272729</v>
      </c>
      <c r="S220" s="168">
        <f t="shared" si="19"/>
        <v>3.5265796727272729</v>
      </c>
      <c r="T220" s="129">
        <f>K220*F220*'Sac Parametreleri'!$B$6*G220</f>
        <v>4.3986689999999999</v>
      </c>
      <c r="U220" s="129">
        <f>N220*F220*'Sac Parametreleri'!$B$6*G220</f>
        <v>1.6170999999999831E-2</v>
      </c>
      <c r="V220" s="129">
        <f>M220*F220*'Sac Parametreleri'!$B$6*G220</f>
        <v>4.4148399999999999</v>
      </c>
      <c r="W220" s="125" t="s">
        <v>85</v>
      </c>
      <c r="X220" s="169" t="s">
        <v>1721</v>
      </c>
    </row>
    <row r="221" spans="1:24" ht="15" customHeight="1" x14ac:dyDescent="0.25">
      <c r="A221" s="118" t="s">
        <v>512</v>
      </c>
      <c r="B221" s="118">
        <v>99</v>
      </c>
      <c r="C221" s="118" t="s">
        <v>1722</v>
      </c>
      <c r="D221" s="118" t="s">
        <v>416</v>
      </c>
      <c r="E221" s="118" t="s">
        <v>1552</v>
      </c>
      <c r="F221" s="118">
        <v>20</v>
      </c>
      <c r="G221" s="118">
        <v>1</v>
      </c>
      <c r="H221" s="118" t="s">
        <v>1551</v>
      </c>
      <c r="I221" s="159">
        <v>240</v>
      </c>
      <c r="J221" s="159">
        <v>116</v>
      </c>
      <c r="K221" s="160">
        <v>2.784E-2</v>
      </c>
      <c r="L221" s="160">
        <v>0</v>
      </c>
      <c r="M221" s="161">
        <f t="shared" si="15"/>
        <v>2.784E-2</v>
      </c>
      <c r="N221" s="161">
        <f t="shared" si="16"/>
        <v>0</v>
      </c>
      <c r="O221" s="121">
        <f t="shared" si="17"/>
        <v>0</v>
      </c>
      <c r="P221" s="162">
        <f>IF(E221="Hardox 450",INDEX('Sac Parametreleri'!$G$11:$G$24,MATCH(F221,'Sac Parametreleri'!$A$11:$A$24,0)),INDEX('Sac Parametreleri'!$E$11:$E$24,MATCH(F221,'Sac Parametreleri'!$A$11:$A$24,0)))</f>
        <v>125.60000000000001</v>
      </c>
      <c r="Q221" s="162">
        <f>INDEX('Sac Parametreleri'!$F$11:$F$24,MATCH(F221,'Sac Parametreleri'!$A$11:$A$24,0))</f>
        <v>51.381818181818183</v>
      </c>
      <c r="R221" s="163">
        <f t="shared" si="18"/>
        <v>3.4967040000000003</v>
      </c>
      <c r="S221" s="163">
        <f t="shared" si="19"/>
        <v>3.4967040000000003</v>
      </c>
      <c r="T221" s="122">
        <f>K221*F221*'Sac Parametreleri'!$B$6*G221</f>
        <v>4.3708799999999997</v>
      </c>
      <c r="U221" s="122">
        <f>N221*F221*'Sac Parametreleri'!$B$6*G221</f>
        <v>0</v>
      </c>
      <c r="V221" s="122">
        <f>M221*F221*'Sac Parametreleri'!$B$6*G221</f>
        <v>4.3708799999999997</v>
      </c>
      <c r="W221" s="118" t="s">
        <v>85</v>
      </c>
    </row>
    <row r="222" spans="1:24" ht="15" customHeight="1" x14ac:dyDescent="0.25">
      <c r="A222" s="118" t="s">
        <v>512</v>
      </c>
      <c r="B222" s="118">
        <v>99</v>
      </c>
      <c r="C222" s="118" t="s">
        <v>1723</v>
      </c>
      <c r="D222" s="118" t="s">
        <v>416</v>
      </c>
      <c r="E222" s="118" t="s">
        <v>1552</v>
      </c>
      <c r="F222" s="118">
        <v>12</v>
      </c>
      <c r="G222" s="118">
        <v>2</v>
      </c>
      <c r="H222" s="118" t="s">
        <v>1551</v>
      </c>
      <c r="I222" s="159">
        <v>186.6</v>
      </c>
      <c r="J222" s="159">
        <v>80</v>
      </c>
      <c r="K222" s="160">
        <v>8.9250000000000006E-3</v>
      </c>
      <c r="L222" s="160">
        <v>0</v>
      </c>
      <c r="M222" s="161">
        <f t="shared" si="15"/>
        <v>1.4928E-2</v>
      </c>
      <c r="N222" s="161">
        <f t="shared" si="16"/>
        <v>6.0029999999999997E-3</v>
      </c>
      <c r="O222" s="121">
        <f t="shared" si="17"/>
        <v>0.40213022508038582</v>
      </c>
      <c r="P222" s="162">
        <f>IF(E222="Hardox 450",INDEX('Sac Parametreleri'!$G$11:$G$24,MATCH(F222,'Sac Parametreleri'!$A$11:$A$24,0)),INDEX('Sac Parametreleri'!$E$11:$E$24,MATCH(F222,'Sac Parametreleri'!$A$11:$A$24,0)))</f>
        <v>75.36</v>
      </c>
      <c r="Q222" s="162">
        <f>INDEX('Sac Parametreleri'!$F$11:$F$24,MATCH(F222,'Sac Parametreleri'!$A$11:$A$24,0))</f>
        <v>30.829090909090905</v>
      </c>
      <c r="R222" s="163">
        <f t="shared" si="18"/>
        <v>0.93990704727272745</v>
      </c>
      <c r="S222" s="163">
        <f t="shared" si="19"/>
        <v>1.8798140945454549</v>
      </c>
      <c r="T222" s="122">
        <f>K222*F222*'Sac Parametreleri'!$B$6*G222</f>
        <v>1.68147</v>
      </c>
      <c r="U222" s="122">
        <f>N222*F222*'Sac Parametreleri'!$B$6*G222</f>
        <v>1.1309651999999997</v>
      </c>
      <c r="V222" s="122">
        <f>M222*F222*'Sac Parametreleri'!$B$6*G222</f>
        <v>2.8124352000000004</v>
      </c>
      <c r="W222" s="118" t="s">
        <v>85</v>
      </c>
    </row>
    <row r="223" spans="1:24" ht="15" customHeight="1" x14ac:dyDescent="0.25">
      <c r="A223" s="118" t="s">
        <v>348</v>
      </c>
      <c r="B223" s="118">
        <v>1</v>
      </c>
      <c r="C223" s="118" t="s">
        <v>1724</v>
      </c>
      <c r="D223" s="118" t="s">
        <v>700</v>
      </c>
      <c r="E223" s="118" t="s">
        <v>1552</v>
      </c>
      <c r="F223" s="118">
        <v>10</v>
      </c>
      <c r="G223" s="118">
        <v>1</v>
      </c>
      <c r="H223" s="118" t="s">
        <v>1551</v>
      </c>
      <c r="I223" s="159">
        <v>390</v>
      </c>
      <c r="J223" s="159">
        <v>120</v>
      </c>
      <c r="K223" s="160">
        <v>4.555E-2</v>
      </c>
      <c r="L223" s="160">
        <v>1.253E-3</v>
      </c>
      <c r="M223" s="161">
        <f t="shared" si="15"/>
        <v>4.6800000000000001E-2</v>
      </c>
      <c r="N223" s="161">
        <f t="shared" si="16"/>
        <v>1.2500000000000011E-3</v>
      </c>
      <c r="O223" s="121">
        <f t="shared" si="17"/>
        <v>2.6709401709401732E-2</v>
      </c>
      <c r="P223" s="162">
        <f>IF(E223="Hardox 450",INDEX('Sac Parametreleri'!$G$11:$G$24,MATCH(F223,'Sac Parametreleri'!$A$11:$A$24,0)),INDEX('Sac Parametreleri'!$E$11:$E$24,MATCH(F223,'Sac Parametreleri'!$A$11:$A$24,0)))</f>
        <v>62.800000000000004</v>
      </c>
      <c r="Q223" s="162">
        <f>INDEX('Sac Parametreleri'!$F$11:$F$24,MATCH(F223,'Sac Parametreleri'!$A$11:$A$24,0))</f>
        <v>25.690909090909091</v>
      </c>
      <c r="R223" s="163">
        <f t="shared" si="18"/>
        <v>2.906926363636364</v>
      </c>
      <c r="S223" s="163">
        <f t="shared" si="19"/>
        <v>2.906926363636364</v>
      </c>
      <c r="T223" s="122">
        <f>K223*F223*'Sac Parametreleri'!$B$6*G223</f>
        <v>3.5756749999999999</v>
      </c>
      <c r="U223" s="122">
        <f>N223*F223*'Sac Parametreleri'!$B$6*G223</f>
        <v>9.8125000000000087E-2</v>
      </c>
      <c r="V223" s="122">
        <f>M223*F223*'Sac Parametreleri'!$B$6*G223</f>
        <v>3.6738</v>
      </c>
      <c r="W223" s="118" t="s">
        <v>85</v>
      </c>
    </row>
    <row r="224" spans="1:24" ht="15" customHeight="1" x14ac:dyDescent="0.25">
      <c r="A224" s="118" t="s">
        <v>348</v>
      </c>
      <c r="B224" s="118">
        <v>2</v>
      </c>
      <c r="C224" s="118" t="s">
        <v>1725</v>
      </c>
      <c r="D224" s="118" t="s">
        <v>700</v>
      </c>
      <c r="E224" s="118" t="s">
        <v>1552</v>
      </c>
      <c r="F224" s="118">
        <v>10</v>
      </c>
      <c r="G224" s="118">
        <v>3</v>
      </c>
      <c r="H224" s="118" t="s">
        <v>1551</v>
      </c>
      <c r="I224" s="159">
        <v>351</v>
      </c>
      <c r="J224" s="159">
        <v>69.400000000000006</v>
      </c>
      <c r="K224" s="160">
        <v>1.9977999999999999E-2</v>
      </c>
      <c r="L224" s="160">
        <v>0</v>
      </c>
      <c r="M224" s="161">
        <f t="shared" si="15"/>
        <v>2.43594E-2</v>
      </c>
      <c r="N224" s="161">
        <f t="shared" si="16"/>
        <v>4.3814000000000006E-3</v>
      </c>
      <c r="O224" s="121">
        <f t="shared" si="17"/>
        <v>0.17986485709828651</v>
      </c>
      <c r="P224" s="162">
        <f>IF(E224="Hardox 450",INDEX('Sac Parametreleri'!$G$11:$G$24,MATCH(F224,'Sac Parametreleri'!$A$11:$A$24,0)),INDEX('Sac Parametreleri'!$E$11:$E$24,MATCH(F224,'Sac Parametreleri'!$A$11:$A$24,0)))</f>
        <v>62.800000000000004</v>
      </c>
      <c r="Q224" s="162">
        <f>INDEX('Sac Parametreleri'!$F$11:$F$24,MATCH(F224,'Sac Parametreleri'!$A$11:$A$24,0))</f>
        <v>25.690909090909091</v>
      </c>
      <c r="R224" s="163">
        <f t="shared" si="18"/>
        <v>1.4172081709090909</v>
      </c>
      <c r="S224" s="163">
        <f t="shared" si="19"/>
        <v>4.2516245127272727</v>
      </c>
      <c r="T224" s="122">
        <f>K224*F224*'Sac Parametreleri'!$B$6*G224</f>
        <v>4.7048189999999996</v>
      </c>
      <c r="U224" s="122">
        <f>N224*F224*'Sac Parametreleri'!$B$6*G224</f>
        <v>1.0318197</v>
      </c>
      <c r="V224" s="122">
        <f>M224*F224*'Sac Parametreleri'!$B$6*G224</f>
        <v>5.7366386999999994</v>
      </c>
      <c r="W224" s="118" t="s">
        <v>85</v>
      </c>
    </row>
    <row r="225" spans="1:23" ht="15" customHeight="1" x14ac:dyDescent="0.25">
      <c r="A225" s="118" t="s">
        <v>531</v>
      </c>
      <c r="B225" s="118">
        <v>99</v>
      </c>
      <c r="C225" s="118" t="s">
        <v>1726</v>
      </c>
      <c r="D225" s="118" t="s">
        <v>416</v>
      </c>
      <c r="E225" s="118" t="s">
        <v>1552</v>
      </c>
      <c r="F225" s="118">
        <v>3</v>
      </c>
      <c r="G225" s="118">
        <v>1</v>
      </c>
      <c r="H225" s="118" t="s">
        <v>1551</v>
      </c>
      <c r="I225" s="159">
        <v>774.9</v>
      </c>
      <c r="J225" s="159">
        <v>358</v>
      </c>
      <c r="K225" s="160">
        <v>0.192722</v>
      </c>
      <c r="L225" s="160">
        <v>3.1E-4</v>
      </c>
      <c r="M225" s="161">
        <f t="shared" si="15"/>
        <v>0.2774142</v>
      </c>
      <c r="N225" s="161">
        <f t="shared" si="16"/>
        <v>8.4692199999999995E-2</v>
      </c>
      <c r="O225" s="121">
        <f t="shared" si="17"/>
        <v>0.30529150995154536</v>
      </c>
      <c r="P225" s="162">
        <f>IF(E225="Hardox 450",INDEX('Sac Parametreleri'!$G$11:$G$24,MATCH(F225,'Sac Parametreleri'!$A$11:$A$24,0)),INDEX('Sac Parametreleri'!$E$11:$E$24,MATCH(F225,'Sac Parametreleri'!$A$11:$A$24,0)))</f>
        <v>18.84</v>
      </c>
      <c r="Q225" s="162">
        <f>INDEX('Sac Parametreleri'!$F$11:$F$24,MATCH(F225,'Sac Parametreleri'!$A$11:$A$24,0))</f>
        <v>7.7072727272727262</v>
      </c>
      <c r="R225" s="163">
        <f t="shared" si="18"/>
        <v>4.5737376447272728</v>
      </c>
      <c r="S225" s="163">
        <f t="shared" si="19"/>
        <v>4.5737376447272728</v>
      </c>
      <c r="T225" s="122">
        <f>K225*F225*'Sac Parametreleri'!$B$6*G225</f>
        <v>4.5386030999999996</v>
      </c>
      <c r="U225" s="122">
        <f>N225*F225*'Sac Parametreleri'!$B$6*G225</f>
        <v>1.9945013099999997</v>
      </c>
      <c r="V225" s="122">
        <f>M225*F225*'Sac Parametreleri'!$B$6*G225</f>
        <v>6.53310441</v>
      </c>
      <c r="W225" s="118" t="s">
        <v>85</v>
      </c>
    </row>
    <row r="226" spans="1:23" ht="15" customHeight="1" x14ac:dyDescent="0.25">
      <c r="A226" s="118" t="s">
        <v>531</v>
      </c>
      <c r="B226" s="118">
        <v>99</v>
      </c>
      <c r="C226" s="118" t="s">
        <v>1727</v>
      </c>
      <c r="D226" s="118" t="s">
        <v>416</v>
      </c>
      <c r="E226" s="118" t="s">
        <v>1552</v>
      </c>
      <c r="F226" s="118">
        <v>6</v>
      </c>
      <c r="G226" s="118">
        <v>2</v>
      </c>
      <c r="H226" s="118" t="s">
        <v>1551</v>
      </c>
      <c r="I226" s="159">
        <v>80</v>
      </c>
      <c r="J226" s="159">
        <v>30</v>
      </c>
      <c r="K226" s="160">
        <v>2.2910000000000001E-3</v>
      </c>
      <c r="L226" s="160">
        <v>6.6000000000000005E-5</v>
      </c>
      <c r="M226" s="161">
        <f t="shared" si="15"/>
        <v>2.3999999999999998E-3</v>
      </c>
      <c r="N226" s="161">
        <f t="shared" si="16"/>
        <v>1.0899999999999972E-4</v>
      </c>
      <c r="O226" s="121">
        <f t="shared" si="17"/>
        <v>4.5416666666666557E-2</v>
      </c>
      <c r="P226" s="162">
        <f>IF(E226="Hardox 450",INDEX('Sac Parametreleri'!$G$11:$G$24,MATCH(F226,'Sac Parametreleri'!$A$11:$A$24,0)),INDEX('Sac Parametreleri'!$E$11:$E$24,MATCH(F226,'Sac Parametreleri'!$A$11:$A$24,0)))</f>
        <v>37.68</v>
      </c>
      <c r="Q226" s="162">
        <f>INDEX('Sac Parametreleri'!$F$11:$F$24,MATCH(F226,'Sac Parametreleri'!$A$11:$A$24,0))</f>
        <v>15.414545454545452</v>
      </c>
      <c r="R226" s="163">
        <f t="shared" si="18"/>
        <v>8.8751814545454541E-2</v>
      </c>
      <c r="S226" s="163">
        <f t="shared" si="19"/>
        <v>0.17750362909090908</v>
      </c>
      <c r="T226" s="122">
        <f>K226*F226*'Sac Parametreleri'!$B$6*G226</f>
        <v>0.21581220000000001</v>
      </c>
      <c r="U226" s="122">
        <f>N226*F226*'Sac Parametreleri'!$B$6*G226</f>
        <v>1.0267799999999973E-2</v>
      </c>
      <c r="V226" s="122">
        <f>M226*F226*'Sac Parametreleri'!$B$6*G226</f>
        <v>0.22607999999999998</v>
      </c>
      <c r="W226" s="118" t="s">
        <v>85</v>
      </c>
    </row>
    <row r="227" spans="1:23" ht="15" customHeight="1" x14ac:dyDescent="0.25">
      <c r="A227" s="118" t="s">
        <v>531</v>
      </c>
      <c r="B227" s="118">
        <v>99</v>
      </c>
      <c r="C227" s="118" t="s">
        <v>1728</v>
      </c>
      <c r="D227" s="118" t="s">
        <v>416</v>
      </c>
      <c r="E227" s="118" t="s">
        <v>1552</v>
      </c>
      <c r="F227" s="118">
        <v>3</v>
      </c>
      <c r="G227" s="118">
        <v>1</v>
      </c>
      <c r="H227" s="118" t="s">
        <v>1551</v>
      </c>
      <c r="I227" s="159">
        <v>740.3</v>
      </c>
      <c r="J227" s="159">
        <v>258</v>
      </c>
      <c r="K227" s="160">
        <v>0.15573799999999999</v>
      </c>
      <c r="L227" s="160">
        <v>3.1E-4</v>
      </c>
      <c r="M227" s="161">
        <f t="shared" si="15"/>
        <v>0.19099739999999998</v>
      </c>
      <c r="N227" s="161">
        <f t="shared" si="16"/>
        <v>3.5259399999999996E-2</v>
      </c>
      <c r="O227" s="121">
        <f t="shared" si="17"/>
        <v>0.18460670145248051</v>
      </c>
      <c r="P227" s="162">
        <f>IF(E227="Hardox 450",INDEX('Sac Parametreleri'!$G$11:$G$24,MATCH(F227,'Sac Parametreleri'!$A$11:$A$24,0)),INDEX('Sac Parametreleri'!$E$11:$E$24,MATCH(F227,'Sac Parametreleri'!$A$11:$A$24,0)))</f>
        <v>18.84</v>
      </c>
      <c r="Q227" s="162">
        <f>INDEX('Sac Parametreleri'!$F$11:$F$24,MATCH(F227,'Sac Parametreleri'!$A$11:$A$24,0))</f>
        <v>7.7072727272727262</v>
      </c>
      <c r="R227" s="163">
        <f t="shared" si="18"/>
        <v>3.3266372039999998</v>
      </c>
      <c r="S227" s="163">
        <f t="shared" si="19"/>
        <v>3.3266372039999998</v>
      </c>
      <c r="T227" s="122">
        <f>K227*F227*'Sac Parametreleri'!$B$6*G227</f>
        <v>3.6676298999999997</v>
      </c>
      <c r="U227" s="122">
        <f>N227*F227*'Sac Parametreleri'!$B$6*G227</f>
        <v>0.83035886999999986</v>
      </c>
      <c r="V227" s="122">
        <f>M227*F227*'Sac Parametreleri'!$B$6*G227</f>
        <v>4.4979887699999992</v>
      </c>
      <c r="W227" s="118" t="s">
        <v>85</v>
      </c>
    </row>
    <row r="228" spans="1:23" ht="15" customHeight="1" x14ac:dyDescent="0.25">
      <c r="A228" s="118" t="s">
        <v>463</v>
      </c>
      <c r="B228" s="118">
        <v>99</v>
      </c>
      <c r="C228" s="118" t="s">
        <v>778</v>
      </c>
      <c r="D228" s="118" t="s">
        <v>700</v>
      </c>
      <c r="E228" s="118" t="s">
        <v>1552</v>
      </c>
      <c r="F228" s="118">
        <v>3</v>
      </c>
      <c r="G228" s="118">
        <v>1</v>
      </c>
      <c r="H228" s="118" t="s">
        <v>1554</v>
      </c>
      <c r="I228" s="159">
        <v>2310</v>
      </c>
      <c r="J228" s="159">
        <v>474</v>
      </c>
      <c r="K228" s="160">
        <v>1.0949439999999999</v>
      </c>
      <c r="L228" s="160">
        <v>0</v>
      </c>
      <c r="M228" s="161">
        <f t="shared" si="15"/>
        <v>1.09494</v>
      </c>
      <c r="N228" s="161">
        <f t="shared" si="16"/>
        <v>0</v>
      </c>
      <c r="O228" s="121">
        <f t="shared" si="17"/>
        <v>0</v>
      </c>
      <c r="P228" s="162">
        <f>IF(E228="Hardox 450",INDEX('Sac Parametreleri'!$G$11:$G$24,MATCH(F228,'Sac Parametreleri'!$A$11:$A$24,0)),INDEX('Sac Parametreleri'!$E$11:$E$24,MATCH(F228,'Sac Parametreleri'!$A$11:$A$24,0)))</f>
        <v>18.84</v>
      </c>
      <c r="Q228" s="162">
        <f>INDEX('Sac Parametreleri'!$F$11:$F$24,MATCH(F228,'Sac Parametreleri'!$A$11:$A$24,0))</f>
        <v>7.7072727272727262</v>
      </c>
      <c r="R228" s="163">
        <f t="shared" si="18"/>
        <v>20.628744959999999</v>
      </c>
      <c r="S228" s="163">
        <f t="shared" si="19"/>
        <v>20.628744959999999</v>
      </c>
      <c r="T228" s="122">
        <f>K228*F228*'Sac Parametreleri'!$B$6*G228</f>
        <v>25.785931199999997</v>
      </c>
      <c r="U228" s="122">
        <f>N228*F228*'Sac Parametreleri'!$B$6*G228</f>
        <v>0</v>
      </c>
      <c r="V228" s="122">
        <f>M228*F228*'Sac Parametreleri'!$B$6*G228</f>
        <v>25.785836999999997</v>
      </c>
      <c r="W228" s="118" t="s">
        <v>85</v>
      </c>
    </row>
    <row r="229" spans="1:23" ht="15" customHeight="1" x14ac:dyDescent="0.25">
      <c r="A229" s="118" t="s">
        <v>463</v>
      </c>
      <c r="B229" s="118">
        <v>99</v>
      </c>
      <c r="C229" s="118" t="s">
        <v>779</v>
      </c>
      <c r="D229" s="118" t="s">
        <v>700</v>
      </c>
      <c r="E229" s="118" t="s">
        <v>1552</v>
      </c>
      <c r="F229" s="118">
        <v>5</v>
      </c>
      <c r="G229" s="118">
        <v>2</v>
      </c>
      <c r="H229" s="118" t="s">
        <v>1554</v>
      </c>
      <c r="I229" s="159">
        <v>1000</v>
      </c>
      <c r="J229" s="159">
        <v>427.3</v>
      </c>
      <c r="K229" s="160">
        <v>0.35209000000000001</v>
      </c>
      <c r="L229" s="160">
        <v>1.1228E-2</v>
      </c>
      <c r="M229" s="161">
        <f t="shared" si="15"/>
        <v>0.42730000000000001</v>
      </c>
      <c r="N229" s="161">
        <f t="shared" si="16"/>
        <v>7.5209999999999999E-2</v>
      </c>
      <c r="O229" s="121">
        <f t="shared" si="17"/>
        <v>0.17601216943599343</v>
      </c>
      <c r="P229" s="162">
        <f>IF(E229="Hardox 450",INDEX('Sac Parametreleri'!$G$11:$G$24,MATCH(F229,'Sac Parametreleri'!$A$11:$A$24,0)),INDEX('Sac Parametreleri'!$E$11:$E$24,MATCH(F229,'Sac Parametreleri'!$A$11:$A$24,0)))</f>
        <v>31.400000000000002</v>
      </c>
      <c r="Q229" s="162">
        <f>INDEX('Sac Parametreleri'!$F$11:$F$24,MATCH(F229,'Sac Parametreleri'!$A$11:$A$24,0))</f>
        <v>12.845454545454546</v>
      </c>
      <c r="R229" s="163">
        <f t="shared" si="18"/>
        <v>12.451113363636367</v>
      </c>
      <c r="S229" s="163">
        <f t="shared" si="19"/>
        <v>24.902226727272733</v>
      </c>
      <c r="T229" s="122">
        <f>K229*F229*'Sac Parametreleri'!$B$6*G229</f>
        <v>27.639064999999999</v>
      </c>
      <c r="U229" s="122">
        <f>N229*F229*'Sac Parametreleri'!$B$6*G229</f>
        <v>5.9039849999999996</v>
      </c>
      <c r="V229" s="122">
        <f>M229*F229*'Sac Parametreleri'!$B$6*G229</f>
        <v>33.543049999999994</v>
      </c>
      <c r="W229" s="118" t="s">
        <v>85</v>
      </c>
    </row>
    <row r="230" spans="1:23" ht="15" customHeight="1" x14ac:dyDescent="0.25">
      <c r="A230" s="118" t="s">
        <v>463</v>
      </c>
      <c r="B230" s="118">
        <v>99</v>
      </c>
      <c r="C230" s="118" t="s">
        <v>1729</v>
      </c>
      <c r="D230" s="118" t="s">
        <v>416</v>
      </c>
      <c r="E230" s="118" t="s">
        <v>1552</v>
      </c>
      <c r="F230" s="118">
        <v>4</v>
      </c>
      <c r="G230" s="118">
        <v>2</v>
      </c>
      <c r="H230" s="118" t="s">
        <v>1551</v>
      </c>
      <c r="I230" s="159">
        <v>144</v>
      </c>
      <c r="J230" s="159">
        <v>94</v>
      </c>
      <c r="K230" s="160">
        <v>1.349E-2</v>
      </c>
      <c r="L230" s="160">
        <v>0</v>
      </c>
      <c r="M230" s="161">
        <f t="shared" si="15"/>
        <v>1.3535999999999999E-2</v>
      </c>
      <c r="N230" s="161">
        <f t="shared" si="16"/>
        <v>4.5999999999999167E-5</v>
      </c>
      <c r="O230" s="121">
        <f t="shared" si="17"/>
        <v>3.3983451536642412E-3</v>
      </c>
      <c r="P230" s="162">
        <f>IF(E230="Hardox 450",INDEX('Sac Parametreleri'!$G$11:$G$24,MATCH(F230,'Sac Parametreleri'!$A$11:$A$24,0)),INDEX('Sac Parametreleri'!$E$11:$E$24,MATCH(F230,'Sac Parametreleri'!$A$11:$A$24,0)))</f>
        <v>25.12</v>
      </c>
      <c r="Q230" s="162">
        <f>INDEX('Sac Parametreleri'!$F$11:$F$24,MATCH(F230,'Sac Parametreleri'!$A$11:$A$24,0))</f>
        <v>10.276363636363635</v>
      </c>
      <c r="R230" s="163">
        <f t="shared" si="18"/>
        <v>0.33955160727272726</v>
      </c>
      <c r="S230" s="163">
        <f t="shared" si="19"/>
        <v>0.67910321454545453</v>
      </c>
      <c r="T230" s="122">
        <f>K230*F230*'Sac Parametreleri'!$B$6*G230</f>
        <v>0.84717199999999993</v>
      </c>
      <c r="U230" s="122">
        <f>N230*F230*'Sac Parametreleri'!$B$6*G230</f>
        <v>2.8887999999999475E-3</v>
      </c>
      <c r="V230" s="122">
        <f>M230*F230*'Sac Parametreleri'!$B$6*G230</f>
        <v>0.85006079999999995</v>
      </c>
      <c r="W230" s="118" t="s">
        <v>85</v>
      </c>
    </row>
    <row r="231" spans="1:23" ht="15" customHeight="1" x14ac:dyDescent="0.25">
      <c r="A231" s="118" t="s">
        <v>463</v>
      </c>
      <c r="B231" s="118">
        <v>99</v>
      </c>
      <c r="C231" s="118" t="s">
        <v>780</v>
      </c>
      <c r="D231" s="118" t="s">
        <v>700</v>
      </c>
      <c r="E231" s="118" t="s">
        <v>1552</v>
      </c>
      <c r="F231" s="118">
        <v>5</v>
      </c>
      <c r="G231" s="118">
        <v>2</v>
      </c>
      <c r="H231" s="118" t="s">
        <v>1554</v>
      </c>
      <c r="I231" s="159">
        <v>598.20000000000005</v>
      </c>
      <c r="J231" s="159">
        <v>367.4</v>
      </c>
      <c r="K231" s="160">
        <v>0.206675</v>
      </c>
      <c r="L231" s="160">
        <v>4.7800000000000002E-4</v>
      </c>
      <c r="M231" s="161">
        <f t="shared" si="15"/>
        <v>0.21977868</v>
      </c>
      <c r="N231" s="161">
        <f t="shared" si="16"/>
        <v>1.3103680000000006E-2</v>
      </c>
      <c r="O231" s="121">
        <f t="shared" si="17"/>
        <v>5.9622161712864989E-2</v>
      </c>
      <c r="P231" s="162">
        <f>IF(E231="Hardox 450",INDEX('Sac Parametreleri'!$G$11:$G$24,MATCH(F231,'Sac Parametreleri'!$A$11:$A$24,0)),INDEX('Sac Parametreleri'!$E$11:$E$24,MATCH(F231,'Sac Parametreleri'!$A$11:$A$24,0)))</f>
        <v>31.400000000000002</v>
      </c>
      <c r="Q231" s="162">
        <f>INDEX('Sac Parametreleri'!$F$11:$F$24,MATCH(F231,'Sac Parametreleri'!$A$11:$A$24,0))</f>
        <v>12.845454545454546</v>
      </c>
      <c r="R231" s="163">
        <f t="shared" si="18"/>
        <v>6.7327278261818186</v>
      </c>
      <c r="S231" s="163">
        <f t="shared" si="19"/>
        <v>13.465455652363637</v>
      </c>
      <c r="T231" s="122">
        <f>K231*F231*'Sac Parametreleri'!$B$6*G231</f>
        <v>16.2239875</v>
      </c>
      <c r="U231" s="122">
        <f>N231*F231*'Sac Parametreleri'!$B$6*G231</f>
        <v>1.0286388800000004</v>
      </c>
      <c r="V231" s="122">
        <f>M231*F231*'Sac Parametreleri'!$B$6*G231</f>
        <v>17.252626380000002</v>
      </c>
      <c r="W231" s="118" t="s">
        <v>85</v>
      </c>
    </row>
    <row r="232" spans="1:23" ht="15" customHeight="1" x14ac:dyDescent="0.25">
      <c r="A232" s="118" t="s">
        <v>463</v>
      </c>
      <c r="B232" s="118">
        <v>99</v>
      </c>
      <c r="C232" s="118" t="s">
        <v>1730</v>
      </c>
      <c r="D232" s="118" t="s">
        <v>416</v>
      </c>
      <c r="E232" s="118" t="s">
        <v>1552</v>
      </c>
      <c r="F232" s="118">
        <v>5</v>
      </c>
      <c r="G232" s="118">
        <v>2</v>
      </c>
      <c r="H232" s="118" t="s">
        <v>1551</v>
      </c>
      <c r="I232" s="159">
        <v>353.6</v>
      </c>
      <c r="J232" s="159">
        <v>174.8</v>
      </c>
      <c r="K232" s="160">
        <v>2.7321999999999999E-2</v>
      </c>
      <c r="L232" s="160">
        <v>0</v>
      </c>
      <c r="M232" s="161">
        <f t="shared" si="15"/>
        <v>6.1809280000000008E-2</v>
      </c>
      <c r="N232" s="161">
        <f t="shared" si="16"/>
        <v>3.4487280000000009E-2</v>
      </c>
      <c r="O232" s="121">
        <f t="shared" si="17"/>
        <v>0.55796281723391705</v>
      </c>
      <c r="P232" s="162">
        <f>IF(E232="Hardox 450",INDEX('Sac Parametreleri'!$G$11:$G$24,MATCH(F232,'Sac Parametreleri'!$A$11:$A$24,0)),INDEX('Sac Parametreleri'!$E$11:$E$24,MATCH(F232,'Sac Parametreleri'!$A$11:$A$24,0)))</f>
        <v>31.400000000000002</v>
      </c>
      <c r="Q232" s="162">
        <f>INDEX('Sac Parametreleri'!$F$11:$F$24,MATCH(F232,'Sac Parametreleri'!$A$11:$A$24,0))</f>
        <v>12.845454545454546</v>
      </c>
      <c r="R232" s="163">
        <f t="shared" si="18"/>
        <v>1.4978066043636367</v>
      </c>
      <c r="S232" s="163">
        <f t="shared" si="19"/>
        <v>2.9956132087272733</v>
      </c>
      <c r="T232" s="122">
        <f>K232*F232*'Sac Parametreleri'!$B$6*G232</f>
        <v>2.1447769999999999</v>
      </c>
      <c r="U232" s="122">
        <f>N232*F232*'Sac Parametreleri'!$B$6*G232</f>
        <v>2.7072514800000005</v>
      </c>
      <c r="V232" s="122">
        <f>M232*F232*'Sac Parametreleri'!$B$6*G232</f>
        <v>4.8520284800000004</v>
      </c>
      <c r="W232" s="118" t="s">
        <v>85</v>
      </c>
    </row>
    <row r="233" spans="1:23" ht="15" customHeight="1" x14ac:dyDescent="0.25">
      <c r="A233" s="118" t="s">
        <v>463</v>
      </c>
      <c r="B233" s="118">
        <v>99</v>
      </c>
      <c r="C233" s="118" t="s">
        <v>1731</v>
      </c>
      <c r="D233" s="118" t="s">
        <v>416</v>
      </c>
      <c r="E233" s="118" t="s">
        <v>1552</v>
      </c>
      <c r="F233" s="118">
        <v>5</v>
      </c>
      <c r="G233" s="118">
        <v>4</v>
      </c>
      <c r="H233" s="118" t="s">
        <v>1551</v>
      </c>
      <c r="I233" s="159">
        <v>267.7</v>
      </c>
      <c r="J233" s="159">
        <v>116</v>
      </c>
      <c r="K233" s="160">
        <v>2.3666E-2</v>
      </c>
      <c r="L233" s="160">
        <v>0</v>
      </c>
      <c r="M233" s="161">
        <f t="shared" si="15"/>
        <v>3.1053199999999996E-2</v>
      </c>
      <c r="N233" s="161">
        <f t="shared" si="16"/>
        <v>7.3871999999999965E-3</v>
      </c>
      <c r="O233" s="121">
        <f t="shared" si="17"/>
        <v>0.23788852678628924</v>
      </c>
      <c r="P233" s="162">
        <f>IF(E233="Hardox 450",INDEX('Sac Parametreleri'!$G$11:$G$24,MATCH(F233,'Sac Parametreleri'!$A$11:$A$24,0)),INDEX('Sac Parametreleri'!$E$11:$E$24,MATCH(F233,'Sac Parametreleri'!$A$11:$A$24,0)))</f>
        <v>31.400000000000002</v>
      </c>
      <c r="Q233" s="162">
        <f>INDEX('Sac Parametreleri'!$F$11:$F$24,MATCH(F233,'Sac Parametreleri'!$A$11:$A$24,0))</f>
        <v>12.845454545454546</v>
      </c>
      <c r="R233" s="163">
        <f t="shared" si="18"/>
        <v>0.88017853818181813</v>
      </c>
      <c r="S233" s="163">
        <f t="shared" si="19"/>
        <v>3.5207141527272725</v>
      </c>
      <c r="T233" s="122">
        <f>K233*F233*'Sac Parametreleri'!$B$6*G233</f>
        <v>3.7155619999999994</v>
      </c>
      <c r="U233" s="122">
        <f>N233*F233*'Sac Parametreleri'!$B$6*G233</f>
        <v>1.1597903999999994</v>
      </c>
      <c r="V233" s="122">
        <f>M233*F233*'Sac Parametreleri'!$B$6*G233</f>
        <v>4.8753523999999997</v>
      </c>
      <c r="W233" s="118" t="s">
        <v>85</v>
      </c>
    </row>
    <row r="234" spans="1:23" ht="15" customHeight="1" x14ac:dyDescent="0.25">
      <c r="A234" s="118" t="s">
        <v>463</v>
      </c>
      <c r="B234" s="118">
        <v>99</v>
      </c>
      <c r="C234" s="118" t="s">
        <v>1732</v>
      </c>
      <c r="D234" s="118" t="s">
        <v>416</v>
      </c>
      <c r="E234" s="118" t="s">
        <v>1552</v>
      </c>
      <c r="F234" s="118">
        <v>10</v>
      </c>
      <c r="G234" s="118">
        <v>2</v>
      </c>
      <c r="H234" s="118" t="s">
        <v>1551</v>
      </c>
      <c r="I234" s="159">
        <v>120</v>
      </c>
      <c r="J234" s="159">
        <v>70</v>
      </c>
      <c r="K234" s="160">
        <v>8.0099999999999998E-3</v>
      </c>
      <c r="L234" s="160">
        <v>3.1799999999999998E-4</v>
      </c>
      <c r="M234" s="161">
        <f t="shared" si="15"/>
        <v>8.3999999999999995E-3</v>
      </c>
      <c r="N234" s="161">
        <f t="shared" si="16"/>
        <v>3.8999999999999972E-4</v>
      </c>
      <c r="O234" s="121">
        <f t="shared" si="17"/>
        <v>4.6428571428571395E-2</v>
      </c>
      <c r="P234" s="162">
        <f>IF(E234="Hardox 450",INDEX('Sac Parametreleri'!$G$11:$G$24,MATCH(F234,'Sac Parametreleri'!$A$11:$A$24,0)),INDEX('Sac Parametreleri'!$E$11:$E$24,MATCH(F234,'Sac Parametreleri'!$A$11:$A$24,0)))</f>
        <v>62.800000000000004</v>
      </c>
      <c r="Q234" s="162">
        <f>INDEX('Sac Parametreleri'!$F$11:$F$24,MATCH(F234,'Sac Parametreleri'!$A$11:$A$24,0))</f>
        <v>25.690909090909091</v>
      </c>
      <c r="R234" s="163">
        <f t="shared" si="18"/>
        <v>0.51750054545454549</v>
      </c>
      <c r="S234" s="163">
        <f t="shared" si="19"/>
        <v>1.035001090909091</v>
      </c>
      <c r="T234" s="122">
        <f>K234*F234*'Sac Parametreleri'!$B$6*G234</f>
        <v>1.2575700000000001</v>
      </c>
      <c r="U234" s="122">
        <f>N234*F234*'Sac Parametreleri'!$B$6*G234</f>
        <v>6.1229999999999951E-2</v>
      </c>
      <c r="V234" s="122">
        <f>M234*F234*'Sac Parametreleri'!$B$6*G234</f>
        <v>1.3187999999999998</v>
      </c>
      <c r="W234" s="118" t="s">
        <v>85</v>
      </c>
    </row>
    <row r="235" spans="1:23" ht="15" customHeight="1" x14ac:dyDescent="0.25">
      <c r="A235" s="118" t="s">
        <v>463</v>
      </c>
      <c r="B235" s="118">
        <v>99</v>
      </c>
      <c r="C235" s="118" t="s">
        <v>1733</v>
      </c>
      <c r="D235" s="118" t="s">
        <v>416</v>
      </c>
      <c r="E235" s="118" t="s">
        <v>1552</v>
      </c>
      <c r="F235" s="118">
        <v>10</v>
      </c>
      <c r="G235" s="118">
        <v>2</v>
      </c>
      <c r="H235" s="118" t="s">
        <v>1551</v>
      </c>
      <c r="I235" s="159">
        <v>100</v>
      </c>
      <c r="J235" s="159">
        <v>90</v>
      </c>
      <c r="K235" s="160">
        <v>8.6060000000000008E-3</v>
      </c>
      <c r="L235" s="160">
        <v>2.9999999999999997E-4</v>
      </c>
      <c r="M235" s="161">
        <f t="shared" si="15"/>
        <v>8.9999999999999993E-3</v>
      </c>
      <c r="N235" s="161">
        <f t="shared" si="16"/>
        <v>3.9399999999999852E-4</v>
      </c>
      <c r="O235" s="121">
        <f t="shared" si="17"/>
        <v>4.3777777777777617E-2</v>
      </c>
      <c r="P235" s="162">
        <f>IF(E235="Hardox 450",INDEX('Sac Parametreleri'!$G$11:$G$24,MATCH(F235,'Sac Parametreleri'!$A$11:$A$24,0)),INDEX('Sac Parametreleri'!$E$11:$E$24,MATCH(F235,'Sac Parametreleri'!$A$11:$A$24,0)))</f>
        <v>62.800000000000004</v>
      </c>
      <c r="Q235" s="162">
        <f>INDEX('Sac Parametreleri'!$F$11:$F$24,MATCH(F235,'Sac Parametreleri'!$A$11:$A$24,0))</f>
        <v>25.690909090909091</v>
      </c>
      <c r="R235" s="163">
        <f t="shared" si="18"/>
        <v>0.5550777818181819</v>
      </c>
      <c r="S235" s="163">
        <f t="shared" si="19"/>
        <v>1.1101555636363638</v>
      </c>
      <c r="T235" s="122">
        <f>K235*F235*'Sac Parametreleri'!$B$6*G235</f>
        <v>1.3511420000000001</v>
      </c>
      <c r="U235" s="122">
        <f>N235*F235*'Sac Parametreleri'!$B$6*G235</f>
        <v>6.1857999999999767E-2</v>
      </c>
      <c r="V235" s="122">
        <f>M235*F235*'Sac Parametreleri'!$B$6*G235</f>
        <v>1.4129999999999998</v>
      </c>
      <c r="W235" s="118" t="s">
        <v>85</v>
      </c>
    </row>
    <row r="236" spans="1:23" ht="15" customHeight="1" x14ac:dyDescent="0.25">
      <c r="A236" s="170" t="s">
        <v>463</v>
      </c>
      <c r="B236" s="170">
        <v>99</v>
      </c>
      <c r="C236" s="170" t="s">
        <v>1733</v>
      </c>
      <c r="D236" s="170" t="s">
        <v>416</v>
      </c>
      <c r="E236" s="170" t="s">
        <v>1552</v>
      </c>
      <c r="F236" s="170">
        <v>16</v>
      </c>
      <c r="G236" s="170">
        <v>4</v>
      </c>
      <c r="H236" s="170" t="s">
        <v>1734</v>
      </c>
      <c r="I236" s="171">
        <v>25.7</v>
      </c>
      <c r="J236" s="171">
        <v>25.7</v>
      </c>
      <c r="K236" s="172">
        <v>5.62E-4</v>
      </c>
      <c r="L236" s="172">
        <v>0</v>
      </c>
      <c r="M236" s="173">
        <f t="shared" si="15"/>
        <v>6.6049000000000001E-4</v>
      </c>
      <c r="N236" s="173">
        <f t="shared" si="16"/>
        <v>9.8490000000000014E-5</v>
      </c>
      <c r="O236" s="174">
        <f t="shared" si="17"/>
        <v>0.14911656497448866</v>
      </c>
      <c r="P236" s="175">
        <f>IF(E236="Hardox 450",INDEX('Sac Parametreleri'!$G$11:$G$24,MATCH(F236,'Sac Parametreleri'!$A$11:$A$24,0)),INDEX('Sac Parametreleri'!$E$11:$E$24,MATCH(F236,'Sac Parametreleri'!$A$11:$A$24,0)))</f>
        <v>100.48</v>
      </c>
      <c r="Q236" s="175">
        <f>INDEX('Sac Parametreleri'!$F$11:$F$24,MATCH(F236,'Sac Parametreleri'!$A$11:$A$24,0))</f>
        <v>41.105454545454542</v>
      </c>
      <c r="R236" s="176">
        <f t="shared" si="18"/>
        <v>6.2317558981818191E-2</v>
      </c>
      <c r="S236" s="176">
        <f t="shared" si="19"/>
        <v>0.24927023592727277</v>
      </c>
      <c r="T236" s="177">
        <f>K236*F236*'Sac Parametreleri'!$B$6*G236</f>
        <v>0.28234880000000001</v>
      </c>
      <c r="U236" s="177">
        <f>N236*F236*'Sac Parametreleri'!$B$6*G236</f>
        <v>4.9481376000000007E-2</v>
      </c>
      <c r="V236" s="177">
        <f>M236*F236*'Sac Parametreleri'!$B$6*G236</f>
        <v>0.33183017599999998</v>
      </c>
      <c r="W236" s="170" t="s">
        <v>85</v>
      </c>
    </row>
    <row r="237" spans="1:23" ht="15" customHeight="1" x14ac:dyDescent="0.25">
      <c r="A237" s="170" t="s">
        <v>463</v>
      </c>
      <c r="B237" s="170">
        <v>99</v>
      </c>
      <c r="C237" s="170" t="s">
        <v>1735</v>
      </c>
      <c r="D237" s="170" t="s">
        <v>416</v>
      </c>
      <c r="E237" s="170" t="s">
        <v>1552</v>
      </c>
      <c r="F237" s="170">
        <v>16</v>
      </c>
      <c r="G237" s="170">
        <v>4</v>
      </c>
      <c r="H237" s="170" t="s">
        <v>1734</v>
      </c>
      <c r="I237" s="171">
        <v>150</v>
      </c>
      <c r="J237" s="171">
        <v>100</v>
      </c>
      <c r="K237" s="172">
        <v>1.3100000000000001E-4</v>
      </c>
      <c r="L237" s="172">
        <v>1.3488E-2</v>
      </c>
      <c r="M237" s="173">
        <f t="shared" si="15"/>
        <v>1.4999999999999999E-2</v>
      </c>
      <c r="N237" s="173">
        <f t="shared" si="16"/>
        <v>1.4869E-2</v>
      </c>
      <c r="O237" s="174">
        <f t="shared" si="17"/>
        <v>0.99126666666666674</v>
      </c>
      <c r="P237" s="175">
        <f>IF(E237="Hardox 450",INDEX('Sac Parametreleri'!$G$11:$G$24,MATCH(F237,'Sac Parametreleri'!$A$11:$A$24,0)),INDEX('Sac Parametreleri'!$E$11:$E$24,MATCH(F237,'Sac Parametreleri'!$A$11:$A$24,0)))</f>
        <v>100.48</v>
      </c>
      <c r="Q237" s="175">
        <f>INDEX('Sac Parametreleri'!$F$11:$F$24,MATCH(F237,'Sac Parametreleri'!$A$11:$A$24,0))</f>
        <v>41.105454545454542</v>
      </c>
      <c r="R237" s="176">
        <f t="shared" si="18"/>
        <v>0.89600299636363645</v>
      </c>
      <c r="S237" s="176">
        <f t="shared" si="19"/>
        <v>3.5840119854545458</v>
      </c>
      <c r="T237" s="177">
        <f>K237*F237*'Sac Parametreleri'!$B$6*G237</f>
        <v>6.5814400000000009E-2</v>
      </c>
      <c r="U237" s="177">
        <f>N237*F237*'Sac Parametreleri'!$B$6*G237</f>
        <v>7.4701855999999998</v>
      </c>
      <c r="V237" s="177">
        <f>M237*F237*'Sac Parametreleri'!$B$6*G237</f>
        <v>7.5359999999999996</v>
      </c>
      <c r="W237" s="170" t="s">
        <v>85</v>
      </c>
    </row>
    <row r="238" spans="1:23" ht="15" customHeight="1" x14ac:dyDescent="0.25">
      <c r="A238" s="118" t="s">
        <v>467</v>
      </c>
      <c r="B238" s="118">
        <v>1</v>
      </c>
      <c r="C238" s="118" t="s">
        <v>1736</v>
      </c>
      <c r="D238" s="118" t="s">
        <v>700</v>
      </c>
      <c r="E238" s="118" t="s">
        <v>1552</v>
      </c>
      <c r="F238" s="118">
        <v>8</v>
      </c>
      <c r="G238" s="118">
        <v>1</v>
      </c>
      <c r="H238" s="118" t="s">
        <v>1551</v>
      </c>
      <c r="I238" s="159">
        <v>990</v>
      </c>
      <c r="J238" s="159">
        <v>962.6</v>
      </c>
      <c r="K238" s="160">
        <v>0.35186400000000001</v>
      </c>
      <c r="L238" s="160">
        <v>0.16749900000000001</v>
      </c>
      <c r="M238" s="161">
        <f t="shared" si="15"/>
        <v>0.95297399999999999</v>
      </c>
      <c r="N238" s="161">
        <f t="shared" si="16"/>
        <v>0.60111000000000003</v>
      </c>
      <c r="O238" s="121">
        <f t="shared" si="17"/>
        <v>0.63077271782860822</v>
      </c>
      <c r="P238" s="162">
        <f>IF(E238="Hardox 450",INDEX('Sac Parametreleri'!$G$11:$G$24,MATCH(F238,'Sac Parametreleri'!$A$11:$A$24,0)),INDEX('Sac Parametreleri'!$E$11:$E$24,MATCH(F238,'Sac Parametreleri'!$A$11:$A$24,0)))</f>
        <v>50.24</v>
      </c>
      <c r="Q238" s="162">
        <f>INDEX('Sac Parametreleri'!$F$11:$F$24,MATCH(F238,'Sac Parametreleri'!$A$11:$A$24,0))</f>
        <v>20.552727272727271</v>
      </c>
      <c r="R238" s="163">
        <f t="shared" si="18"/>
        <v>35.522963869090916</v>
      </c>
      <c r="S238" s="163">
        <f t="shared" si="19"/>
        <v>35.522963869090916</v>
      </c>
      <c r="T238" s="122">
        <f>K238*F238*'Sac Parametreleri'!$B$6*G238</f>
        <v>22.0970592</v>
      </c>
      <c r="U238" s="122">
        <f>N238*F238*'Sac Parametreleri'!$B$6*G238</f>
        <v>37.749707999999998</v>
      </c>
      <c r="V238" s="122">
        <f>M238*F238*'Sac Parametreleri'!$B$6*G238</f>
        <v>59.846767199999995</v>
      </c>
      <c r="W238" s="118" t="s">
        <v>85</v>
      </c>
    </row>
    <row r="239" spans="1:23" ht="15" customHeight="1" x14ac:dyDescent="0.25">
      <c r="A239" s="118" t="s">
        <v>467</v>
      </c>
      <c r="B239" s="118">
        <v>2</v>
      </c>
      <c r="C239" s="118" t="s">
        <v>1737</v>
      </c>
      <c r="D239" s="118" t="s">
        <v>700</v>
      </c>
      <c r="E239" s="118" t="s">
        <v>1552</v>
      </c>
      <c r="F239" s="118">
        <v>8</v>
      </c>
      <c r="G239" s="118">
        <v>1</v>
      </c>
      <c r="H239" s="118" t="s">
        <v>1551</v>
      </c>
      <c r="I239" s="159">
        <v>990</v>
      </c>
      <c r="J239" s="159">
        <v>962.6</v>
      </c>
      <c r="K239" s="160">
        <v>0.31976599999999999</v>
      </c>
      <c r="L239" s="160">
        <v>4.2585999999999999E-2</v>
      </c>
      <c r="M239" s="161">
        <f t="shared" si="15"/>
        <v>0.95297399999999999</v>
      </c>
      <c r="N239" s="161">
        <f t="shared" si="16"/>
        <v>0.63320799999999999</v>
      </c>
      <c r="O239" s="121">
        <f t="shared" si="17"/>
        <v>0.66445464409312316</v>
      </c>
      <c r="P239" s="162">
        <f>IF(E239="Hardox 450",INDEX('Sac Parametreleri'!$G$11:$G$24,MATCH(F239,'Sac Parametreleri'!$A$11:$A$24,0)),INDEX('Sac Parametreleri'!$E$11:$E$24,MATCH(F239,'Sac Parametreleri'!$A$11:$A$24,0)))</f>
        <v>50.24</v>
      </c>
      <c r="Q239" s="162">
        <f>INDEX('Sac Parametreleri'!$F$11:$F$24,MATCH(F239,'Sac Parametreleri'!$A$11:$A$24,0))</f>
        <v>20.552727272727271</v>
      </c>
      <c r="R239" s="163">
        <f t="shared" si="18"/>
        <v>34.863262429090909</v>
      </c>
      <c r="S239" s="163">
        <f t="shared" si="19"/>
        <v>34.863262429090909</v>
      </c>
      <c r="T239" s="122">
        <f>K239*F239*'Sac Parametreleri'!$B$6*G239</f>
        <v>20.081304799999998</v>
      </c>
      <c r="U239" s="122">
        <f>N239*F239*'Sac Parametreleri'!$B$6*G239</f>
        <v>39.765462399999997</v>
      </c>
      <c r="V239" s="122">
        <f>M239*F239*'Sac Parametreleri'!$B$6*G239</f>
        <v>59.846767199999995</v>
      </c>
      <c r="W239" s="118" t="s">
        <v>85</v>
      </c>
    </row>
    <row r="240" spans="1:23" ht="15" customHeight="1" x14ac:dyDescent="0.25">
      <c r="A240" s="118" t="s">
        <v>467</v>
      </c>
      <c r="B240" s="118">
        <v>3</v>
      </c>
      <c r="C240" s="118" t="s">
        <v>787</v>
      </c>
      <c r="D240" s="118" t="s">
        <v>700</v>
      </c>
      <c r="E240" s="118" t="s">
        <v>1552</v>
      </c>
      <c r="F240" s="118">
        <v>6</v>
      </c>
      <c r="G240" s="118">
        <v>1</v>
      </c>
      <c r="H240" s="118" t="s">
        <v>1554</v>
      </c>
      <c r="I240" s="159">
        <v>1489.9</v>
      </c>
      <c r="J240" s="159">
        <v>118</v>
      </c>
      <c r="K240" s="160">
        <v>0.117814</v>
      </c>
      <c r="L240" s="160">
        <v>4.4940000000000001E-2</v>
      </c>
      <c r="M240" s="161">
        <f t="shared" si="15"/>
        <v>0.1758082</v>
      </c>
      <c r="N240" s="161">
        <f t="shared" si="16"/>
        <v>5.7994199999999996E-2</v>
      </c>
      <c r="O240" s="121">
        <f t="shared" si="17"/>
        <v>0.32987198549328184</v>
      </c>
      <c r="P240" s="162">
        <f>IF(E240="Hardox 450",INDEX('Sac Parametreleri'!$G$11:$G$24,MATCH(F240,'Sac Parametreleri'!$A$11:$A$24,0)),INDEX('Sac Parametreleri'!$E$11:$E$24,MATCH(F240,'Sac Parametreleri'!$A$11:$A$24,0)))</f>
        <v>37.68</v>
      </c>
      <c r="Q240" s="162">
        <f>INDEX('Sac Parametreleri'!$F$11:$F$24,MATCH(F240,'Sac Parametreleri'!$A$11:$A$24,0))</f>
        <v>15.414545454545452</v>
      </c>
      <c r="R240" s="163">
        <f t="shared" si="18"/>
        <v>5.7304987440000001</v>
      </c>
      <c r="S240" s="163">
        <f t="shared" si="19"/>
        <v>5.7304987440000001</v>
      </c>
      <c r="T240" s="122">
        <f>K240*F240*'Sac Parametreleri'!$B$6*G240</f>
        <v>5.5490393999999998</v>
      </c>
      <c r="U240" s="122">
        <f>N240*F240*'Sac Parametreleri'!$B$6*G240</f>
        <v>2.7315268199999996</v>
      </c>
      <c r="V240" s="122">
        <f>M240*F240*'Sac Parametreleri'!$B$6*G240</f>
        <v>8.2805662200000008</v>
      </c>
      <c r="W240" s="118" t="s">
        <v>85</v>
      </c>
    </row>
    <row r="241" spans="1:23" ht="15" customHeight="1" x14ac:dyDescent="0.25">
      <c r="A241" s="118" t="s">
        <v>467</v>
      </c>
      <c r="B241" s="118">
        <v>4</v>
      </c>
      <c r="C241" s="118" t="s">
        <v>788</v>
      </c>
      <c r="D241" s="118" t="s">
        <v>700</v>
      </c>
      <c r="E241" s="118" t="s">
        <v>1552</v>
      </c>
      <c r="F241" s="118">
        <v>6</v>
      </c>
      <c r="G241" s="118">
        <v>1</v>
      </c>
      <c r="H241" s="118" t="s">
        <v>1560</v>
      </c>
      <c r="I241" s="159">
        <v>992.7</v>
      </c>
      <c r="J241" s="159">
        <v>154</v>
      </c>
      <c r="K241" s="160">
        <v>0.14600099999999999</v>
      </c>
      <c r="L241" s="160">
        <v>6.8719999999999996E-3</v>
      </c>
      <c r="M241" s="161">
        <f t="shared" si="15"/>
        <v>0.15287580000000001</v>
      </c>
      <c r="N241" s="161">
        <f t="shared" si="16"/>
        <v>6.8748000000000142E-3</v>
      </c>
      <c r="O241" s="121">
        <f t="shared" si="17"/>
        <v>4.4969838260862829E-2</v>
      </c>
      <c r="P241" s="162">
        <f>IF(E241="Hardox 450",INDEX('Sac Parametreleri'!$G$11:$G$24,MATCH(F241,'Sac Parametreleri'!$A$11:$A$24,0)),INDEX('Sac Parametreleri'!$E$11:$E$24,MATCH(F241,'Sac Parametreleri'!$A$11:$A$24,0)))</f>
        <v>37.68</v>
      </c>
      <c r="Q241" s="162">
        <f>INDEX('Sac Parametreleri'!$F$11:$F$24,MATCH(F241,'Sac Parametreleri'!$A$11:$A$24,0))</f>
        <v>15.414545454545452</v>
      </c>
      <c r="R241" s="163">
        <f t="shared" si="18"/>
        <v>5.6543882269090906</v>
      </c>
      <c r="S241" s="163">
        <f t="shared" si="19"/>
        <v>5.6543882269090906</v>
      </c>
      <c r="T241" s="122">
        <f>K241*F241*'Sac Parametreleri'!$B$6*G241</f>
        <v>6.8766470999999996</v>
      </c>
      <c r="U241" s="122">
        <f>N241*F241*'Sac Parametreleri'!$B$6*G241</f>
        <v>0.32380308000000063</v>
      </c>
      <c r="V241" s="122">
        <f>M241*F241*'Sac Parametreleri'!$B$6*G241</f>
        <v>7.2004501799999998</v>
      </c>
      <c r="W241" s="118" t="s">
        <v>85</v>
      </c>
    </row>
    <row r="242" spans="1:23" ht="15" customHeight="1" x14ac:dyDescent="0.25">
      <c r="A242" s="118" t="s">
        <v>467</v>
      </c>
      <c r="B242" s="118">
        <v>5</v>
      </c>
      <c r="C242" s="118" t="s">
        <v>789</v>
      </c>
      <c r="D242" s="118" t="s">
        <v>700</v>
      </c>
      <c r="E242" s="118" t="s">
        <v>1552</v>
      </c>
      <c r="F242" s="118">
        <v>6</v>
      </c>
      <c r="G242" s="118">
        <v>1</v>
      </c>
      <c r="H242" s="118" t="s">
        <v>1554</v>
      </c>
      <c r="I242" s="159">
        <v>1146.7</v>
      </c>
      <c r="J242" s="159">
        <v>154</v>
      </c>
      <c r="K242" s="160">
        <v>0.175485</v>
      </c>
      <c r="L242" s="160">
        <v>1.0989999999999999E-3</v>
      </c>
      <c r="M242" s="161">
        <f t="shared" si="15"/>
        <v>0.17659180000000002</v>
      </c>
      <c r="N242" s="161">
        <f t="shared" si="16"/>
        <v>1.1068000000000189E-3</v>
      </c>
      <c r="O242" s="121">
        <f t="shared" si="17"/>
        <v>6.2675616874623783E-3</v>
      </c>
      <c r="P242" s="162">
        <f>IF(E242="Hardox 450",INDEX('Sac Parametreleri'!$G$11:$G$24,MATCH(F242,'Sac Parametreleri'!$A$11:$A$24,0)),INDEX('Sac Parametreleri'!$E$11:$E$24,MATCH(F242,'Sac Parametreleri'!$A$11:$A$24,0)))</f>
        <v>37.68</v>
      </c>
      <c r="Q242" s="162">
        <f>INDEX('Sac Parametreleri'!$F$11:$F$24,MATCH(F242,'Sac Parametreleri'!$A$11:$A$24,0))</f>
        <v>15.414545454545452</v>
      </c>
      <c r="R242" s="163">
        <f t="shared" si="18"/>
        <v>6.6369182050909092</v>
      </c>
      <c r="S242" s="163">
        <f t="shared" si="19"/>
        <v>6.6369182050909092</v>
      </c>
      <c r="T242" s="122">
        <f>K242*F242*'Sac Parametreleri'!$B$6*G242</f>
        <v>8.2653435000000002</v>
      </c>
      <c r="U242" s="122">
        <f>N242*F242*'Sac Parametreleri'!$B$6*G242</f>
        <v>5.2130280000000889E-2</v>
      </c>
      <c r="V242" s="122">
        <f>M242*F242*'Sac Parametreleri'!$B$6*G242</f>
        <v>8.317473780000002</v>
      </c>
      <c r="W242" s="118" t="s">
        <v>85</v>
      </c>
    </row>
    <row r="243" spans="1:23" ht="15" customHeight="1" x14ac:dyDescent="0.25">
      <c r="A243" s="118" t="s">
        <v>467</v>
      </c>
      <c r="B243" s="118">
        <v>6</v>
      </c>
      <c r="C243" s="118" t="s">
        <v>790</v>
      </c>
      <c r="D243" s="118" t="s">
        <v>700</v>
      </c>
      <c r="E243" s="118" t="s">
        <v>1552</v>
      </c>
      <c r="F243" s="118">
        <v>6</v>
      </c>
      <c r="G243" s="118">
        <v>1</v>
      </c>
      <c r="H243" s="118" t="s">
        <v>1575</v>
      </c>
      <c r="I243" s="159">
        <v>1072.4000000000001</v>
      </c>
      <c r="J243" s="159">
        <v>154</v>
      </c>
      <c r="K243" s="160">
        <v>0.164244</v>
      </c>
      <c r="L243" s="160">
        <v>9.1200000000000005E-4</v>
      </c>
      <c r="M243" s="161">
        <f t="shared" si="15"/>
        <v>0.16514960000000001</v>
      </c>
      <c r="N243" s="161">
        <f t="shared" si="16"/>
        <v>9.056000000000064E-4</v>
      </c>
      <c r="O243" s="121">
        <f t="shared" si="17"/>
        <v>5.4835131299137653E-3</v>
      </c>
      <c r="P243" s="162">
        <f>IF(E243="Hardox 450",INDEX('Sac Parametreleri'!$G$11:$G$24,MATCH(F243,'Sac Parametreleri'!$A$11:$A$24,0)),INDEX('Sac Parametreleri'!$E$11:$E$24,MATCH(F243,'Sac Parametreleri'!$A$11:$A$24,0)))</f>
        <v>37.68</v>
      </c>
      <c r="Q243" s="162">
        <f>INDEX('Sac Parametreleri'!$F$11:$F$24,MATCH(F243,'Sac Parametreleri'!$A$11:$A$24,0))</f>
        <v>15.414545454545452</v>
      </c>
      <c r="R243" s="163">
        <f t="shared" si="18"/>
        <v>6.208877515636364</v>
      </c>
      <c r="S243" s="163">
        <f t="shared" si="19"/>
        <v>6.208877515636364</v>
      </c>
      <c r="T243" s="122">
        <f>K243*F243*'Sac Parametreleri'!$B$6*G243</f>
        <v>7.7358924</v>
      </c>
      <c r="U243" s="122">
        <f>N243*F243*'Sac Parametreleri'!$B$6*G243</f>
        <v>4.2653760000000297E-2</v>
      </c>
      <c r="V243" s="122">
        <f>M243*F243*'Sac Parametreleri'!$B$6*G243</f>
        <v>7.7785461600000003</v>
      </c>
      <c r="W243" s="118" t="s">
        <v>85</v>
      </c>
    </row>
    <row r="244" spans="1:23" ht="15" customHeight="1" x14ac:dyDescent="0.25">
      <c r="A244" s="118" t="s">
        <v>467</v>
      </c>
      <c r="B244" s="118">
        <v>7</v>
      </c>
      <c r="C244" s="118" t="s">
        <v>1561</v>
      </c>
      <c r="D244" s="118" t="s">
        <v>1565</v>
      </c>
      <c r="E244" s="118" t="s">
        <v>1552</v>
      </c>
      <c r="F244" s="118">
        <v>12</v>
      </c>
      <c r="G244" s="118">
        <v>2</v>
      </c>
      <c r="H244" s="118" t="s">
        <v>1551</v>
      </c>
      <c r="I244" s="159">
        <v>220</v>
      </c>
      <c r="J244" s="159">
        <v>140</v>
      </c>
      <c r="K244" s="160">
        <v>2.9765E-2</v>
      </c>
      <c r="L244" s="160">
        <v>9.4200000000000002E-4</v>
      </c>
      <c r="M244" s="161">
        <f t="shared" si="15"/>
        <v>3.0800000000000001E-2</v>
      </c>
      <c r="N244" s="161">
        <f t="shared" si="16"/>
        <v>1.0350000000000012E-3</v>
      </c>
      <c r="O244" s="121">
        <f t="shared" si="17"/>
        <v>3.3603896103896143E-2</v>
      </c>
      <c r="P244" s="162">
        <f>IF(E244="Hardox 450",INDEX('Sac Parametreleri'!$G$11:$G$24,MATCH(F244,'Sac Parametreleri'!$A$11:$A$24,0)),INDEX('Sac Parametreleri'!$E$11:$E$24,MATCH(F244,'Sac Parametreleri'!$A$11:$A$24,0)))</f>
        <v>75.36</v>
      </c>
      <c r="Q244" s="162">
        <f>INDEX('Sac Parametreleri'!$F$11:$F$24,MATCH(F244,'Sac Parametreleri'!$A$11:$A$24,0))</f>
        <v>30.829090909090905</v>
      </c>
      <c r="R244" s="163">
        <f t="shared" si="18"/>
        <v>2.2891798909090908</v>
      </c>
      <c r="S244" s="163">
        <f t="shared" si="19"/>
        <v>4.5783597818181816</v>
      </c>
      <c r="T244" s="122">
        <f>K244*F244*'Sac Parametreleri'!$B$6*G244</f>
        <v>5.6077259999999995</v>
      </c>
      <c r="U244" s="122">
        <f>N244*F244*'Sac Parametreleri'!$B$6*G244</f>
        <v>0.19499400000000022</v>
      </c>
      <c r="V244" s="122">
        <f>M244*F244*'Sac Parametreleri'!$B$6*G244</f>
        <v>5.8027200000000008</v>
      </c>
      <c r="W244" s="118" t="s">
        <v>85</v>
      </c>
    </row>
    <row r="245" spans="1:23" ht="15" customHeight="1" x14ac:dyDescent="0.25">
      <c r="A245" s="135" t="s">
        <v>633</v>
      </c>
      <c r="B245" s="135">
        <v>2</v>
      </c>
      <c r="C245" s="135" t="s">
        <v>1732</v>
      </c>
      <c r="D245" s="135" t="s">
        <v>1738</v>
      </c>
      <c r="E245" s="135" t="s">
        <v>1552</v>
      </c>
      <c r="F245" s="135">
        <v>10</v>
      </c>
      <c r="G245" s="135">
        <v>5</v>
      </c>
      <c r="H245" s="135" t="s">
        <v>1739</v>
      </c>
      <c r="I245" s="178">
        <v>120</v>
      </c>
      <c r="J245" s="178">
        <v>70</v>
      </c>
      <c r="K245" s="179">
        <v>8.0099999999999998E-3</v>
      </c>
      <c r="L245" s="179">
        <v>3.1799999999999998E-4</v>
      </c>
      <c r="M245" s="180">
        <f t="shared" si="15"/>
        <v>8.3999999999999995E-3</v>
      </c>
      <c r="N245" s="180">
        <f t="shared" si="16"/>
        <v>3.8999999999999972E-4</v>
      </c>
      <c r="O245" s="138">
        <f t="shared" si="17"/>
        <v>4.6428571428571395E-2</v>
      </c>
      <c r="P245" s="181">
        <f>IF(E245="Hardox 450",INDEX('Sac Parametreleri'!$G$11:$G$24,MATCH(F245,'Sac Parametreleri'!$A$11:$A$24,0)),INDEX('Sac Parametreleri'!$E$11:$E$24,MATCH(F245,'Sac Parametreleri'!$A$11:$A$24,0)))</f>
        <v>62.800000000000004</v>
      </c>
      <c r="Q245" s="181">
        <f>INDEX('Sac Parametreleri'!$F$11:$F$24,MATCH(F245,'Sac Parametreleri'!$A$11:$A$24,0))</f>
        <v>25.690909090909091</v>
      </c>
      <c r="R245" s="182">
        <f t="shared" si="18"/>
        <v>0.51750054545454549</v>
      </c>
      <c r="S245" s="182">
        <f t="shared" si="19"/>
        <v>2.5875027272727276</v>
      </c>
      <c r="T245" s="139">
        <f>K245*F245*'Sac Parametreleri'!$B$6*G245</f>
        <v>3.1439250000000003</v>
      </c>
      <c r="U245" s="139">
        <f>N245*F245*'Sac Parametreleri'!$B$6*G245</f>
        <v>0.15307499999999988</v>
      </c>
      <c r="V245" s="139">
        <f>M245*F245*'Sac Parametreleri'!$B$6*G245</f>
        <v>3.2969999999999993</v>
      </c>
      <c r="W245" s="135" t="s">
        <v>1520</v>
      </c>
    </row>
    <row r="246" spans="1:23" ht="15" customHeight="1" x14ac:dyDescent="0.25">
      <c r="A246" s="135" t="s">
        <v>635</v>
      </c>
      <c r="B246" s="135">
        <v>3</v>
      </c>
      <c r="C246" s="135" t="s">
        <v>1740</v>
      </c>
      <c r="D246" s="135" t="s">
        <v>1741</v>
      </c>
      <c r="E246" s="135" t="s">
        <v>1552</v>
      </c>
      <c r="F246" s="135">
        <v>6</v>
      </c>
      <c r="G246" s="135">
        <v>1</v>
      </c>
      <c r="H246" s="135" t="s">
        <v>1742</v>
      </c>
      <c r="I246" s="178"/>
      <c r="J246" s="178"/>
      <c r="K246" s="179">
        <v>2.5690000000000001E-2</v>
      </c>
      <c r="L246" s="179">
        <v>0</v>
      </c>
      <c r="M246" s="180">
        <f>K246/(1-'Sac Parametreleri'!$B$27)</f>
        <v>3.1329268292682927E-2</v>
      </c>
      <c r="N246" s="180">
        <f t="shared" si="16"/>
        <v>5.6392682926829259E-3</v>
      </c>
      <c r="O246" s="138">
        <f t="shared" si="17"/>
        <v>0.17999999999999997</v>
      </c>
      <c r="P246" s="181">
        <f>IF(E246="Hardox 450",INDEX('Sac Parametreleri'!$G$11:$G$24,MATCH(F246,'Sac Parametreleri'!$A$11:$A$24,0)),INDEX('Sac Parametreleri'!$E$11:$E$24,MATCH(F246,'Sac Parametreleri'!$A$11:$A$24,0)))</f>
        <v>37.68</v>
      </c>
      <c r="Q246" s="181">
        <f>INDEX('Sac Parametreleri'!$F$11:$F$24,MATCH(F246,'Sac Parametreleri'!$A$11:$A$24,0))</f>
        <v>15.414545454545452</v>
      </c>
      <c r="R246" s="182">
        <f t="shared" si="18"/>
        <v>1.0935600718403546</v>
      </c>
      <c r="S246" s="182">
        <f t="shared" si="19"/>
        <v>1.0935600718403546</v>
      </c>
      <c r="T246" s="139">
        <f>K246*F246*'Sac Parametreleri'!$B$6*G246</f>
        <v>1.209999</v>
      </c>
      <c r="U246" s="139">
        <f>N246*F246*'Sac Parametreleri'!$B$6*G246</f>
        <v>0.26560953658536579</v>
      </c>
      <c r="V246" s="139">
        <f>M246*F246*'Sac Parametreleri'!$B$6*G246</f>
        <v>1.4756085365853657</v>
      </c>
      <c r="W246" s="135" t="s">
        <v>1520</v>
      </c>
    </row>
    <row r="247" spans="1:23" ht="15" customHeight="1" x14ac:dyDescent="0.25">
      <c r="A247" s="135" t="s">
        <v>468</v>
      </c>
      <c r="B247" s="135">
        <v>2</v>
      </c>
      <c r="C247" s="135" t="s">
        <v>1743</v>
      </c>
      <c r="D247" s="135" t="s">
        <v>749</v>
      </c>
      <c r="E247" s="135" t="s">
        <v>1552</v>
      </c>
      <c r="F247" s="135">
        <v>10</v>
      </c>
      <c r="G247" s="135">
        <v>2</v>
      </c>
      <c r="H247" s="135" t="s">
        <v>1742</v>
      </c>
      <c r="I247" s="178"/>
      <c r="J247" s="178"/>
      <c r="K247" s="179">
        <v>1.721E-2</v>
      </c>
      <c r="L247" s="179">
        <v>0</v>
      </c>
      <c r="M247" s="180">
        <f>K247/(1-'Sac Parametreleri'!$B$27)</f>
        <v>2.0987804878048778E-2</v>
      </c>
      <c r="N247" s="180">
        <f t="shared" si="16"/>
        <v>3.7778048780487787E-3</v>
      </c>
      <c r="O247" s="138">
        <f t="shared" si="17"/>
        <v>0.17999999999999994</v>
      </c>
      <c r="P247" s="181">
        <f>IF(E247="Hardox 450",INDEX('Sac Parametreleri'!$G$11:$G$24,MATCH(F247,'Sac Parametreleri'!$A$11:$A$24,0)),INDEX('Sac Parametreleri'!$E$11:$E$24,MATCH(F247,'Sac Parametreleri'!$A$11:$A$24,0)))</f>
        <v>62.800000000000004</v>
      </c>
      <c r="Q247" s="181">
        <f>INDEX('Sac Parametreleri'!$F$11:$F$24,MATCH(F247,'Sac Parametreleri'!$A$11:$A$24,0))</f>
        <v>25.690909090909091</v>
      </c>
      <c r="R247" s="182">
        <f t="shared" si="18"/>
        <v>1.2209789046563193</v>
      </c>
      <c r="S247" s="182">
        <f t="shared" si="19"/>
        <v>2.4419578093126386</v>
      </c>
      <c r="T247" s="139">
        <f>K247*F247*'Sac Parametreleri'!$B$6*G247</f>
        <v>2.7019699999999998</v>
      </c>
      <c r="U247" s="139">
        <f>N247*F247*'Sac Parametreleri'!$B$6*G247</f>
        <v>0.59311536585365821</v>
      </c>
      <c r="V247" s="139">
        <f>M247*F247*'Sac Parametreleri'!$B$6*G247</f>
        <v>3.2950853658536579</v>
      </c>
      <c r="W247" s="135" t="s">
        <v>1520</v>
      </c>
    </row>
    <row r="248" spans="1:23" ht="15" customHeight="1" x14ac:dyDescent="0.25">
      <c r="A248" s="135" t="s">
        <v>468</v>
      </c>
      <c r="B248" s="135">
        <v>4</v>
      </c>
      <c r="C248" s="135" t="s">
        <v>1744</v>
      </c>
      <c r="D248" s="135" t="s">
        <v>749</v>
      </c>
      <c r="E248" s="135" t="s">
        <v>1552</v>
      </c>
      <c r="F248" s="135">
        <v>8</v>
      </c>
      <c r="G248" s="135">
        <v>1</v>
      </c>
      <c r="H248" s="135" t="s">
        <v>1742</v>
      </c>
      <c r="I248" s="178"/>
      <c r="J248" s="178"/>
      <c r="K248" s="179">
        <v>7.038E-3</v>
      </c>
      <c r="L248" s="179">
        <v>0</v>
      </c>
      <c r="M248" s="180">
        <f>K248/(1-'Sac Parametreleri'!$B$27)</f>
        <v>8.5829268292682923E-3</v>
      </c>
      <c r="N248" s="180">
        <f t="shared" si="16"/>
        <v>1.5449268292682923E-3</v>
      </c>
      <c r="O248" s="138">
        <f t="shared" si="17"/>
        <v>0.17999999999999997</v>
      </c>
      <c r="P248" s="181">
        <f>IF(E248="Hardox 450",INDEX('Sac Parametreleri'!$G$11:$G$24,MATCH(F248,'Sac Parametreleri'!$A$11:$A$24,0)),INDEX('Sac Parametreleri'!$E$11:$E$24,MATCH(F248,'Sac Parametreleri'!$A$11:$A$24,0)))</f>
        <v>50.24</v>
      </c>
      <c r="Q248" s="181">
        <f>INDEX('Sac Parametreleri'!$F$11:$F$24,MATCH(F248,'Sac Parametreleri'!$A$11:$A$24,0))</f>
        <v>20.552727272727271</v>
      </c>
      <c r="R248" s="182">
        <f t="shared" si="18"/>
        <v>0.39945378412416849</v>
      </c>
      <c r="S248" s="182">
        <f t="shared" si="19"/>
        <v>0.39945378412416849</v>
      </c>
      <c r="T248" s="139">
        <f>K248*F248*'Sac Parametreleri'!$B$6*G248</f>
        <v>0.4419864</v>
      </c>
      <c r="U248" s="139">
        <f>N248*F248*'Sac Parametreleri'!$B$6*G248</f>
        <v>9.702140487804875E-2</v>
      </c>
      <c r="V248" s="139">
        <f>M248*F248*'Sac Parametreleri'!$B$6*G248</f>
        <v>0.53900780487804878</v>
      </c>
      <c r="W248" s="135" t="s">
        <v>1520</v>
      </c>
    </row>
    <row r="249" spans="1:23" ht="15" customHeight="1" x14ac:dyDescent="0.25">
      <c r="A249" s="135" t="s">
        <v>462</v>
      </c>
      <c r="B249" s="135">
        <v>1</v>
      </c>
      <c r="C249" s="135" t="s">
        <v>1745</v>
      </c>
      <c r="D249" s="135" t="s">
        <v>749</v>
      </c>
      <c r="E249" s="135" t="s">
        <v>1552</v>
      </c>
      <c r="F249" s="135">
        <v>8</v>
      </c>
      <c r="G249" s="135">
        <v>1</v>
      </c>
      <c r="H249" s="135" t="s">
        <v>1742</v>
      </c>
      <c r="I249" s="178"/>
      <c r="J249" s="178"/>
      <c r="K249" s="179">
        <v>5.6049999999999997E-3</v>
      </c>
      <c r="L249" s="179">
        <v>0</v>
      </c>
      <c r="M249" s="180">
        <f>K249/(1-'Sac Parametreleri'!$B$27)</f>
        <v>6.8353658536585357E-3</v>
      </c>
      <c r="N249" s="180">
        <f t="shared" si="16"/>
        <v>1.230365853658536E-3</v>
      </c>
      <c r="O249" s="138">
        <f t="shared" si="17"/>
        <v>0.17999999999999994</v>
      </c>
      <c r="P249" s="181">
        <f>IF(E249="Hardox 450",INDEX('Sac Parametreleri'!$G$11:$G$24,MATCH(F249,'Sac Parametreleri'!$A$11:$A$24,0)),INDEX('Sac Parametreleri'!$E$11:$E$24,MATCH(F249,'Sac Parametreleri'!$A$11:$A$24,0)))</f>
        <v>50.24</v>
      </c>
      <c r="Q249" s="181">
        <f>INDEX('Sac Parametreleri'!$F$11:$F$24,MATCH(F249,'Sac Parametreleri'!$A$11:$A$24,0))</f>
        <v>20.552727272727271</v>
      </c>
      <c r="R249" s="182">
        <f t="shared" si="18"/>
        <v>0.31812140665188465</v>
      </c>
      <c r="S249" s="182">
        <f t="shared" si="19"/>
        <v>0.31812140665188465</v>
      </c>
      <c r="T249" s="139">
        <f>K249*F249*'Sac Parametreleri'!$B$6*G249</f>
        <v>0.35199399999999997</v>
      </c>
      <c r="U249" s="139">
        <f>N249*F249*'Sac Parametreleri'!$B$6*G249</f>
        <v>7.7266975609756053E-2</v>
      </c>
      <c r="V249" s="139">
        <f>M249*F249*'Sac Parametreleri'!$B$6*G249</f>
        <v>0.42926097560975601</v>
      </c>
      <c r="W249" s="135" t="s">
        <v>1520</v>
      </c>
    </row>
    <row r="250" spans="1:23" ht="15" customHeight="1" x14ac:dyDescent="0.25">
      <c r="A250" s="135" t="s">
        <v>462</v>
      </c>
      <c r="B250" s="135">
        <v>3</v>
      </c>
      <c r="C250" s="135" t="s">
        <v>792</v>
      </c>
      <c r="D250" s="135" t="s">
        <v>793</v>
      </c>
      <c r="E250" s="135" t="s">
        <v>1552</v>
      </c>
      <c r="F250" s="135">
        <v>4</v>
      </c>
      <c r="G250" s="135">
        <v>3</v>
      </c>
      <c r="H250" s="135" t="s">
        <v>1746</v>
      </c>
      <c r="I250" s="178"/>
      <c r="J250" s="178"/>
      <c r="K250" s="179">
        <v>3.6879000000000002E-2</v>
      </c>
      <c r="L250" s="179">
        <v>0</v>
      </c>
      <c r="M250" s="180">
        <f>K250/(1-'Sac Parametreleri'!$B$29)</f>
        <v>4.6741444866920154E-2</v>
      </c>
      <c r="N250" s="180">
        <f t="shared" si="16"/>
        <v>9.8624448669201517E-3</v>
      </c>
      <c r="O250" s="138">
        <f t="shared" si="17"/>
        <v>0.21099999999999999</v>
      </c>
      <c r="P250" s="181">
        <f>IF(E250="Hardox 450",INDEX('Sac Parametreleri'!$G$11:$G$24,MATCH(F250,'Sac Parametreleri'!$A$11:$A$24,0)),INDEX('Sac Parametreleri'!$E$11:$E$24,MATCH(F250,'Sac Parametreleri'!$A$11:$A$24,0)))</f>
        <v>25.12</v>
      </c>
      <c r="Q250" s="181">
        <f>INDEX('Sac Parametreleri'!$F$11:$F$24,MATCH(F250,'Sac Parametreleri'!$A$11:$A$24,0))</f>
        <v>10.276363636363635</v>
      </c>
      <c r="R250" s="182">
        <f t="shared" si="18"/>
        <v>1.0727950252609748</v>
      </c>
      <c r="S250" s="182">
        <f t="shared" si="19"/>
        <v>3.2183850757829244</v>
      </c>
      <c r="T250" s="139">
        <f>K250*F250*'Sac Parametreleri'!$B$6*G250</f>
        <v>3.4740017999999999</v>
      </c>
      <c r="U250" s="139">
        <f>N250*F250*'Sac Parametreleri'!$B$6*G250</f>
        <v>0.9290423064638782</v>
      </c>
      <c r="V250" s="139">
        <f>M250*F250*'Sac Parametreleri'!$B$6*G250</f>
        <v>4.403044106463879</v>
      </c>
      <c r="W250" s="135" t="s">
        <v>1520</v>
      </c>
    </row>
    <row r="251" spans="1:23" ht="15" customHeight="1" x14ac:dyDescent="0.25">
      <c r="A251" s="135" t="s">
        <v>462</v>
      </c>
      <c r="B251" s="135">
        <v>4</v>
      </c>
      <c r="C251" s="135" t="s">
        <v>1747</v>
      </c>
      <c r="D251" s="135" t="s">
        <v>1748</v>
      </c>
      <c r="E251" s="135" t="s">
        <v>1552</v>
      </c>
      <c r="F251" s="135">
        <v>4</v>
      </c>
      <c r="G251" s="135">
        <v>1</v>
      </c>
      <c r="H251" s="135" t="s">
        <v>1742</v>
      </c>
      <c r="I251" s="178"/>
      <c r="J251" s="178"/>
      <c r="K251" s="179">
        <v>1.815E-3</v>
      </c>
      <c r="L251" s="179">
        <v>0</v>
      </c>
      <c r="M251" s="180">
        <f>K251/(1-'Sac Parametreleri'!$B$27)</f>
        <v>2.2134146341463413E-3</v>
      </c>
      <c r="N251" s="180">
        <f t="shared" si="16"/>
        <v>3.9841463414634127E-4</v>
      </c>
      <c r="O251" s="138">
        <f t="shared" si="17"/>
        <v>0.17999999999999994</v>
      </c>
      <c r="P251" s="181">
        <f>IF(E251="Hardox 450",INDEX('Sac Parametreleri'!$G$11:$G$24,MATCH(F251,'Sac Parametreleri'!$A$11:$A$24,0)),INDEX('Sac Parametreleri'!$E$11:$E$24,MATCH(F251,'Sac Parametreleri'!$A$11:$A$24,0)))</f>
        <v>25.12</v>
      </c>
      <c r="Q251" s="181">
        <f>INDEX('Sac Parametreleri'!$F$11:$F$24,MATCH(F251,'Sac Parametreleri'!$A$11:$A$24,0))</f>
        <v>10.276363636363635</v>
      </c>
      <c r="R251" s="182">
        <f t="shared" si="18"/>
        <v>5.1506721951219511E-2</v>
      </c>
      <c r="S251" s="182">
        <f t="shared" si="19"/>
        <v>5.1506721951219511E-2</v>
      </c>
      <c r="T251" s="139">
        <f>K251*F251*'Sac Parametreleri'!$B$6*G251</f>
        <v>5.6991E-2</v>
      </c>
      <c r="U251" s="139">
        <f>N251*F251*'Sac Parametreleri'!$B$6*G251</f>
        <v>1.2510219512195116E-2</v>
      </c>
      <c r="V251" s="139">
        <f>M251*F251*'Sac Parametreleri'!$B$6*G251</f>
        <v>6.9501219512195109E-2</v>
      </c>
      <c r="W251" s="135" t="s">
        <v>1520</v>
      </c>
    </row>
    <row r="252" spans="1:23" ht="15" customHeight="1" x14ac:dyDescent="0.25">
      <c r="A252" s="135" t="s">
        <v>594</v>
      </c>
      <c r="B252" s="135">
        <v>1</v>
      </c>
      <c r="C252" s="135" t="s">
        <v>1745</v>
      </c>
      <c r="D252" s="135" t="s">
        <v>749</v>
      </c>
      <c r="E252" s="135" t="s">
        <v>1552</v>
      </c>
      <c r="F252" s="135">
        <v>8</v>
      </c>
      <c r="G252" s="135">
        <v>1</v>
      </c>
      <c r="H252" s="135" t="s">
        <v>1742</v>
      </c>
      <c r="I252" s="178"/>
      <c r="J252" s="178"/>
      <c r="K252" s="179">
        <v>5.6049999999999997E-3</v>
      </c>
      <c r="L252" s="179">
        <v>0</v>
      </c>
      <c r="M252" s="180">
        <f>K252/(1-'Sac Parametreleri'!$B$27)</f>
        <v>6.8353658536585357E-3</v>
      </c>
      <c r="N252" s="180">
        <f t="shared" si="16"/>
        <v>1.230365853658536E-3</v>
      </c>
      <c r="O252" s="138">
        <f t="shared" si="17"/>
        <v>0.17999999999999994</v>
      </c>
      <c r="P252" s="181">
        <f>IF(E252="Hardox 450",INDEX('Sac Parametreleri'!$G$11:$G$24,MATCH(F252,'Sac Parametreleri'!$A$11:$A$24,0)),INDEX('Sac Parametreleri'!$E$11:$E$24,MATCH(F252,'Sac Parametreleri'!$A$11:$A$24,0)))</f>
        <v>50.24</v>
      </c>
      <c r="Q252" s="181">
        <f>INDEX('Sac Parametreleri'!$F$11:$F$24,MATCH(F252,'Sac Parametreleri'!$A$11:$A$24,0))</f>
        <v>20.552727272727271</v>
      </c>
      <c r="R252" s="182">
        <f t="shared" si="18"/>
        <v>0.31812140665188465</v>
      </c>
      <c r="S252" s="182">
        <f t="shared" si="19"/>
        <v>0.31812140665188465</v>
      </c>
      <c r="T252" s="139">
        <f>K252*F252*'Sac Parametreleri'!$B$6*G252</f>
        <v>0.35199399999999997</v>
      </c>
      <c r="U252" s="139">
        <f>N252*F252*'Sac Parametreleri'!$B$6*G252</f>
        <v>7.7266975609756053E-2</v>
      </c>
      <c r="V252" s="139">
        <f>M252*F252*'Sac Parametreleri'!$B$6*G252</f>
        <v>0.42926097560975601</v>
      </c>
      <c r="W252" s="135" t="s">
        <v>1520</v>
      </c>
    </row>
    <row r="253" spans="1:23" ht="15" customHeight="1" x14ac:dyDescent="0.25">
      <c r="A253" s="135" t="s">
        <v>594</v>
      </c>
      <c r="B253" s="135">
        <v>3</v>
      </c>
      <c r="C253" s="135" t="s">
        <v>792</v>
      </c>
      <c r="D253" s="135" t="s">
        <v>793</v>
      </c>
      <c r="E253" s="135" t="s">
        <v>1552</v>
      </c>
      <c r="F253" s="135">
        <v>4</v>
      </c>
      <c r="G253" s="135">
        <v>3</v>
      </c>
      <c r="H253" s="135" t="s">
        <v>1746</v>
      </c>
      <c r="I253" s="178"/>
      <c r="J253" s="178"/>
      <c r="K253" s="179">
        <v>3.6879000000000002E-2</v>
      </c>
      <c r="L253" s="179">
        <v>0</v>
      </c>
      <c r="M253" s="180">
        <f>K253/(1-'Sac Parametreleri'!$B$29)</f>
        <v>4.6741444866920154E-2</v>
      </c>
      <c r="N253" s="180">
        <f t="shared" si="16"/>
        <v>9.8624448669201517E-3</v>
      </c>
      <c r="O253" s="138">
        <f t="shared" si="17"/>
        <v>0.21099999999999999</v>
      </c>
      <c r="P253" s="181">
        <f>IF(E253="Hardox 450",INDEX('Sac Parametreleri'!$G$11:$G$24,MATCH(F253,'Sac Parametreleri'!$A$11:$A$24,0)),INDEX('Sac Parametreleri'!$E$11:$E$24,MATCH(F253,'Sac Parametreleri'!$A$11:$A$24,0)))</f>
        <v>25.12</v>
      </c>
      <c r="Q253" s="181">
        <f>INDEX('Sac Parametreleri'!$F$11:$F$24,MATCH(F253,'Sac Parametreleri'!$A$11:$A$24,0))</f>
        <v>10.276363636363635</v>
      </c>
      <c r="R253" s="182">
        <f t="shared" si="18"/>
        <v>1.0727950252609748</v>
      </c>
      <c r="S253" s="182">
        <f t="shared" si="19"/>
        <v>3.2183850757829244</v>
      </c>
      <c r="T253" s="139">
        <f>K253*F253*'Sac Parametreleri'!$B$6*G253</f>
        <v>3.4740017999999999</v>
      </c>
      <c r="U253" s="139">
        <f>N253*F253*'Sac Parametreleri'!$B$6*G253</f>
        <v>0.9290423064638782</v>
      </c>
      <c r="V253" s="139">
        <f>M253*F253*'Sac Parametreleri'!$B$6*G253</f>
        <v>4.403044106463879</v>
      </c>
      <c r="W253" s="135" t="s">
        <v>1520</v>
      </c>
    </row>
    <row r="254" spans="1:23" ht="15" customHeight="1" x14ac:dyDescent="0.25">
      <c r="A254" s="135" t="s">
        <v>594</v>
      </c>
      <c r="B254" s="135">
        <v>4</v>
      </c>
      <c r="C254" s="135" t="s">
        <v>1747</v>
      </c>
      <c r="D254" s="135" t="s">
        <v>1748</v>
      </c>
      <c r="E254" s="135" t="s">
        <v>1552</v>
      </c>
      <c r="F254" s="135">
        <v>4</v>
      </c>
      <c r="G254" s="135">
        <v>1</v>
      </c>
      <c r="H254" s="135" t="s">
        <v>1742</v>
      </c>
      <c r="I254" s="178"/>
      <c r="J254" s="178"/>
      <c r="K254" s="179">
        <v>1.815E-3</v>
      </c>
      <c r="L254" s="179">
        <v>0</v>
      </c>
      <c r="M254" s="180">
        <f>K254/(1-'Sac Parametreleri'!$B$27)</f>
        <v>2.2134146341463413E-3</v>
      </c>
      <c r="N254" s="180">
        <f t="shared" si="16"/>
        <v>3.9841463414634127E-4</v>
      </c>
      <c r="O254" s="138">
        <f t="shared" si="17"/>
        <v>0.17999999999999994</v>
      </c>
      <c r="P254" s="181">
        <f>IF(E254="Hardox 450",INDEX('Sac Parametreleri'!$G$11:$G$24,MATCH(F254,'Sac Parametreleri'!$A$11:$A$24,0)),INDEX('Sac Parametreleri'!$E$11:$E$24,MATCH(F254,'Sac Parametreleri'!$A$11:$A$24,0)))</f>
        <v>25.12</v>
      </c>
      <c r="Q254" s="181">
        <f>INDEX('Sac Parametreleri'!$F$11:$F$24,MATCH(F254,'Sac Parametreleri'!$A$11:$A$24,0))</f>
        <v>10.276363636363635</v>
      </c>
      <c r="R254" s="182">
        <f t="shared" si="18"/>
        <v>5.1506721951219511E-2</v>
      </c>
      <c r="S254" s="182">
        <f t="shared" si="19"/>
        <v>5.1506721951219511E-2</v>
      </c>
      <c r="T254" s="139">
        <f>K254*F254*'Sac Parametreleri'!$B$6*G254</f>
        <v>5.6991E-2</v>
      </c>
      <c r="U254" s="139">
        <f>N254*F254*'Sac Parametreleri'!$B$6*G254</f>
        <v>1.2510219512195116E-2</v>
      </c>
      <c r="V254" s="139">
        <f>M254*F254*'Sac Parametreleri'!$B$6*G254</f>
        <v>6.9501219512195109E-2</v>
      </c>
      <c r="W254" s="135" t="s">
        <v>1520</v>
      </c>
    </row>
    <row r="255" spans="1:23" ht="15" customHeight="1" x14ac:dyDescent="0.25">
      <c r="A255" s="135" t="s">
        <v>487</v>
      </c>
      <c r="B255" s="135">
        <v>1</v>
      </c>
      <c r="C255" s="135" t="s">
        <v>1749</v>
      </c>
      <c r="D255" s="135" t="s">
        <v>1750</v>
      </c>
      <c r="E255" s="135" t="s">
        <v>1552</v>
      </c>
      <c r="F255" s="135">
        <v>6</v>
      </c>
      <c r="G255" s="135">
        <v>1</v>
      </c>
      <c r="H255" s="135" t="s">
        <v>1742</v>
      </c>
      <c r="I255" s="178"/>
      <c r="J255" s="178"/>
      <c r="K255" s="179">
        <v>2.9512E-2</v>
      </c>
      <c r="L255" s="179">
        <v>0</v>
      </c>
      <c r="M255" s="180">
        <f>K255/(1-'Sac Parametreleri'!$B$27)</f>
        <v>3.5990243902439024E-2</v>
      </c>
      <c r="N255" s="180">
        <f t="shared" si="16"/>
        <v>6.4782439024390244E-3</v>
      </c>
      <c r="O255" s="138">
        <f t="shared" si="17"/>
        <v>0.18</v>
      </c>
      <c r="P255" s="181">
        <f>IF(E255="Hardox 450",INDEX('Sac Parametreleri'!$G$11:$G$24,MATCH(F255,'Sac Parametreleri'!$A$11:$A$24,0)),INDEX('Sac Parametreleri'!$E$11:$E$24,MATCH(F255,'Sac Parametreleri'!$A$11:$A$24,0)))</f>
        <v>37.68</v>
      </c>
      <c r="Q255" s="181">
        <f>INDEX('Sac Parametreleri'!$F$11:$F$24,MATCH(F255,'Sac Parametreleri'!$A$11:$A$24,0))</f>
        <v>15.414545454545452</v>
      </c>
      <c r="R255" s="182">
        <f t="shared" si="18"/>
        <v>1.2562532051441242</v>
      </c>
      <c r="S255" s="182">
        <f t="shared" si="19"/>
        <v>1.2562532051441242</v>
      </c>
      <c r="T255" s="139">
        <f>K255*F255*'Sac Parametreleri'!$B$6*G255</f>
        <v>1.3900151999999999</v>
      </c>
      <c r="U255" s="139">
        <f>N255*F255*'Sac Parametreleri'!$B$6*G255</f>
        <v>0.30512528780487802</v>
      </c>
      <c r="V255" s="139">
        <f>M255*F255*'Sac Parametreleri'!$B$6*G255</f>
        <v>1.6951404878048781</v>
      </c>
      <c r="W255" s="135" t="s">
        <v>1520</v>
      </c>
    </row>
    <row r="256" spans="1:23" ht="15" customHeight="1" x14ac:dyDescent="0.25">
      <c r="A256" s="135" t="s">
        <v>487</v>
      </c>
      <c r="B256" s="135">
        <v>2</v>
      </c>
      <c r="C256" s="135" t="s">
        <v>1751</v>
      </c>
      <c r="D256" s="135" t="s">
        <v>1752</v>
      </c>
      <c r="E256" s="135" t="s">
        <v>1552</v>
      </c>
      <c r="F256" s="135">
        <v>6</v>
      </c>
      <c r="G256" s="135">
        <v>2</v>
      </c>
      <c r="H256" s="135" t="s">
        <v>1742</v>
      </c>
      <c r="I256" s="178"/>
      <c r="J256" s="178"/>
      <c r="K256" s="179">
        <v>1.9553999999999998E-2</v>
      </c>
      <c r="L256" s="179">
        <v>0</v>
      </c>
      <c r="M256" s="180">
        <f>K256/(1-'Sac Parametreleri'!$B$27)</f>
        <v>2.384634146341463E-2</v>
      </c>
      <c r="N256" s="180">
        <f t="shared" si="16"/>
        <v>4.2923414634146312E-3</v>
      </c>
      <c r="O256" s="138">
        <f t="shared" si="17"/>
        <v>0.17999999999999991</v>
      </c>
      <c r="P256" s="181">
        <f>IF(E256="Hardox 450",INDEX('Sac Parametreleri'!$G$11:$G$24,MATCH(F256,'Sac Parametreleri'!$A$11:$A$24,0)),INDEX('Sac Parametreleri'!$E$11:$E$24,MATCH(F256,'Sac Parametreleri'!$A$11:$A$24,0)))</f>
        <v>37.68</v>
      </c>
      <c r="Q256" s="181">
        <f>INDEX('Sac Parametreleri'!$F$11:$F$24,MATCH(F256,'Sac Parametreleri'!$A$11:$A$24,0))</f>
        <v>15.414545454545452</v>
      </c>
      <c r="R256" s="182">
        <f t="shared" si="18"/>
        <v>0.83236565374722826</v>
      </c>
      <c r="S256" s="182">
        <f t="shared" si="19"/>
        <v>1.6647313074944565</v>
      </c>
      <c r="T256" s="139">
        <f>K256*F256*'Sac Parametreleri'!$B$6*G256</f>
        <v>1.8419867999999997</v>
      </c>
      <c r="U256" s="139">
        <f>N256*F256*'Sac Parametreleri'!$B$6*G256</f>
        <v>0.40433856585365824</v>
      </c>
      <c r="V256" s="139">
        <f>M256*F256*'Sac Parametreleri'!$B$6*G256</f>
        <v>2.2463253658536577</v>
      </c>
      <c r="W256" s="135" t="s">
        <v>1520</v>
      </c>
    </row>
    <row r="257" spans="1:23" ht="15" customHeight="1" x14ac:dyDescent="0.25">
      <c r="A257" s="135" t="s">
        <v>487</v>
      </c>
      <c r="B257" s="135">
        <v>3</v>
      </c>
      <c r="C257" s="135" t="s">
        <v>1753</v>
      </c>
      <c r="D257" s="135" t="s">
        <v>1754</v>
      </c>
      <c r="E257" s="135" t="s">
        <v>1552</v>
      </c>
      <c r="F257" s="135">
        <v>6</v>
      </c>
      <c r="G257" s="135">
        <v>1</v>
      </c>
      <c r="H257" s="135" t="s">
        <v>1742</v>
      </c>
      <c r="I257" s="178"/>
      <c r="J257" s="178"/>
      <c r="K257" s="179">
        <v>8.9169999999999996E-3</v>
      </c>
      <c r="L257" s="179">
        <v>0</v>
      </c>
      <c r="M257" s="180">
        <f>K257/(1-'Sac Parametreleri'!$B$27)</f>
        <v>1.0874390243902438E-2</v>
      </c>
      <c r="N257" s="180">
        <f t="shared" si="16"/>
        <v>1.957390243902438E-3</v>
      </c>
      <c r="O257" s="138">
        <f t="shared" si="17"/>
        <v>0.17999999999999994</v>
      </c>
      <c r="P257" s="181">
        <f>IF(E257="Hardox 450",INDEX('Sac Parametreleri'!$G$11:$G$24,MATCH(F257,'Sac Parametreleri'!$A$11:$A$24,0)),INDEX('Sac Parametreleri'!$E$11:$E$24,MATCH(F257,'Sac Parametreleri'!$A$11:$A$24,0)))</f>
        <v>37.68</v>
      </c>
      <c r="Q257" s="181">
        <f>INDEX('Sac Parametreleri'!$F$11:$F$24,MATCH(F257,'Sac Parametreleri'!$A$11:$A$24,0))</f>
        <v>15.414545454545452</v>
      </c>
      <c r="R257" s="182">
        <f t="shared" si="18"/>
        <v>0.37957474350332593</v>
      </c>
      <c r="S257" s="182">
        <f t="shared" si="19"/>
        <v>0.37957474350332593</v>
      </c>
      <c r="T257" s="139">
        <f>K257*F257*'Sac Parametreleri'!$B$6*G257</f>
        <v>0.41999069999999994</v>
      </c>
      <c r="U257" s="139">
        <f>N257*F257*'Sac Parametreleri'!$B$6*G257</f>
        <v>9.2193080487804821E-2</v>
      </c>
      <c r="V257" s="139">
        <f>M257*F257*'Sac Parametreleri'!$B$6*G257</f>
        <v>0.51218378048780477</v>
      </c>
      <c r="W257" s="135" t="s">
        <v>1520</v>
      </c>
    </row>
    <row r="258" spans="1:23" ht="15" customHeight="1" x14ac:dyDescent="0.25">
      <c r="A258" s="135" t="s">
        <v>487</v>
      </c>
      <c r="B258" s="135">
        <v>4</v>
      </c>
      <c r="C258" s="135" t="s">
        <v>803</v>
      </c>
      <c r="D258" s="135" t="s">
        <v>804</v>
      </c>
      <c r="E258" s="135" t="s">
        <v>1552</v>
      </c>
      <c r="F258" s="135">
        <v>6</v>
      </c>
      <c r="G258" s="135">
        <v>1</v>
      </c>
      <c r="H258" s="135" t="s">
        <v>1746</v>
      </c>
      <c r="I258" s="178"/>
      <c r="J258" s="178"/>
      <c r="K258" s="179">
        <v>8.1740000000000007E-3</v>
      </c>
      <c r="L258" s="179">
        <v>0</v>
      </c>
      <c r="M258" s="180">
        <f>K258/(1-'Sac Parametreleri'!$B$29)</f>
        <v>1.0359949302915082E-2</v>
      </c>
      <c r="N258" s="180">
        <f t="shared" ref="N258:N321" si="20">MAX(M258-K258,0)</f>
        <v>2.1859493029150814E-3</v>
      </c>
      <c r="O258" s="138">
        <f t="shared" ref="O258:O321" si="21">IF(M258=0,0,N258/M258)</f>
        <v>0.21099999999999991</v>
      </c>
      <c r="P258" s="181">
        <f>IF(E258="Hardox 450",INDEX('Sac Parametreleri'!$G$11:$G$24,MATCH(F258,'Sac Parametreleri'!$A$11:$A$24,0)),INDEX('Sac Parametreleri'!$E$11:$E$24,MATCH(F258,'Sac Parametreleri'!$A$11:$A$24,0)))</f>
        <v>37.68</v>
      </c>
      <c r="Q258" s="181">
        <f>INDEX('Sac Parametreleri'!$F$11:$F$24,MATCH(F258,'Sac Parametreleri'!$A$11:$A$24,0))</f>
        <v>15.414545454545452</v>
      </c>
      <c r="R258" s="182">
        <f t="shared" ref="R258:R321" si="22">(K258+N258)*P258-N258*Q258</f>
        <v>0.35666747484272388</v>
      </c>
      <c r="S258" s="182">
        <f t="shared" ref="S258:S321" si="23">R258*G258</f>
        <v>0.35666747484272388</v>
      </c>
      <c r="T258" s="139">
        <f>K258*F258*'Sac Parametreleri'!$B$6*G258</f>
        <v>0.38499540000000004</v>
      </c>
      <c r="U258" s="139">
        <f>N258*F258*'Sac Parametreleri'!$B$6*G258</f>
        <v>0.10295821216730033</v>
      </c>
      <c r="V258" s="139">
        <f>M258*F258*'Sac Parametreleri'!$B$6*G258</f>
        <v>0.48795361216730032</v>
      </c>
      <c r="W258" s="135" t="s">
        <v>1520</v>
      </c>
    </row>
    <row r="259" spans="1:23" ht="15" customHeight="1" x14ac:dyDescent="0.25">
      <c r="A259" s="135" t="s">
        <v>487</v>
      </c>
      <c r="B259" s="135">
        <v>5</v>
      </c>
      <c r="C259" s="135" t="s">
        <v>1755</v>
      </c>
      <c r="D259" s="135" t="s">
        <v>1756</v>
      </c>
      <c r="E259" s="135" t="s">
        <v>1552</v>
      </c>
      <c r="F259" s="135">
        <v>10</v>
      </c>
      <c r="G259" s="135">
        <v>1</v>
      </c>
      <c r="H259" s="135" t="s">
        <v>1742</v>
      </c>
      <c r="I259" s="178"/>
      <c r="J259" s="178"/>
      <c r="K259" s="179">
        <v>4.9170000000000004E-3</v>
      </c>
      <c r="L259" s="179">
        <v>0</v>
      </c>
      <c r="M259" s="180">
        <f>K259/(1-'Sac Parametreleri'!$B$27)</f>
        <v>5.9963414634146344E-3</v>
      </c>
      <c r="N259" s="180">
        <f t="shared" si="20"/>
        <v>1.0793414634146341E-3</v>
      </c>
      <c r="O259" s="138">
        <f t="shared" si="21"/>
        <v>0.18</v>
      </c>
      <c r="P259" s="181">
        <f>IF(E259="Hardox 450",INDEX('Sac Parametreleri'!$G$11:$G$24,MATCH(F259,'Sac Parametreleri'!$A$11:$A$24,0)),INDEX('Sac Parametreleri'!$E$11:$E$24,MATCH(F259,'Sac Parametreleri'!$A$11:$A$24,0)))</f>
        <v>62.800000000000004</v>
      </c>
      <c r="Q259" s="181">
        <f>INDEX('Sac Parametreleri'!$F$11:$F$24,MATCH(F259,'Sac Parametreleri'!$A$11:$A$24,0))</f>
        <v>25.690909090909091</v>
      </c>
      <c r="R259" s="182">
        <f t="shared" si="22"/>
        <v>0.34884098048780493</v>
      </c>
      <c r="S259" s="182">
        <f t="shared" si="23"/>
        <v>0.34884098048780493</v>
      </c>
      <c r="T259" s="139">
        <f>K259*F259*'Sac Parametreleri'!$B$6*G259</f>
        <v>0.38598450000000001</v>
      </c>
      <c r="U259" s="139">
        <f>N259*F259*'Sac Parametreleri'!$B$6*G259</f>
        <v>8.4728304878048777E-2</v>
      </c>
      <c r="V259" s="139">
        <f>M259*F259*'Sac Parametreleri'!$B$6*G259</f>
        <v>0.47071280487804879</v>
      </c>
      <c r="W259" s="135" t="s">
        <v>1520</v>
      </c>
    </row>
    <row r="260" spans="1:23" ht="15" customHeight="1" x14ac:dyDescent="0.25">
      <c r="A260" s="135" t="s">
        <v>487</v>
      </c>
      <c r="B260" s="135">
        <v>6</v>
      </c>
      <c r="C260" s="135" t="s">
        <v>1757</v>
      </c>
      <c r="D260" s="135" t="s">
        <v>1758</v>
      </c>
      <c r="E260" s="135" t="s">
        <v>1552</v>
      </c>
      <c r="F260" s="135">
        <v>6</v>
      </c>
      <c r="G260" s="135">
        <v>1</v>
      </c>
      <c r="H260" s="135" t="s">
        <v>1742</v>
      </c>
      <c r="I260" s="178"/>
      <c r="J260" s="178"/>
      <c r="K260" s="179">
        <v>7.2820000000000003E-3</v>
      </c>
      <c r="L260" s="179">
        <v>0</v>
      </c>
      <c r="M260" s="180">
        <f>K260/(1-'Sac Parametreleri'!$B$27)</f>
        <v>8.880487804878049E-3</v>
      </c>
      <c r="N260" s="180">
        <f t="shared" si="20"/>
        <v>1.5984878048780488E-3</v>
      </c>
      <c r="O260" s="138">
        <f t="shared" si="21"/>
        <v>0.18</v>
      </c>
      <c r="P260" s="181">
        <f>IF(E260="Hardox 450",INDEX('Sac Parametreleri'!$G$11:$G$24,MATCH(F260,'Sac Parametreleri'!$A$11:$A$24,0)),INDEX('Sac Parametreleri'!$E$11:$E$24,MATCH(F260,'Sac Parametreleri'!$A$11:$A$24,0)))</f>
        <v>37.68</v>
      </c>
      <c r="Q260" s="181">
        <f>INDEX('Sac Parametreleri'!$F$11:$F$24,MATCH(F260,'Sac Parametreleri'!$A$11:$A$24,0))</f>
        <v>15.414545454545452</v>
      </c>
      <c r="R260" s="182">
        <f t="shared" si="22"/>
        <v>0.30997681756097567</v>
      </c>
      <c r="S260" s="182">
        <f t="shared" si="23"/>
        <v>0.30997681756097567</v>
      </c>
      <c r="T260" s="139">
        <f>K260*F260*'Sac Parametreleri'!$B$6*G260</f>
        <v>0.34298220000000001</v>
      </c>
      <c r="U260" s="139">
        <f>N260*F260*'Sac Parametreleri'!$B$6*G260</f>
        <v>7.5288775609756095E-2</v>
      </c>
      <c r="V260" s="139">
        <f>M260*F260*'Sac Parametreleri'!$B$6*G260</f>
        <v>0.41827097560975607</v>
      </c>
      <c r="W260" s="135" t="s">
        <v>1520</v>
      </c>
    </row>
    <row r="261" spans="1:23" ht="15" customHeight="1" x14ac:dyDescent="0.25">
      <c r="A261" s="135" t="s">
        <v>488</v>
      </c>
      <c r="B261" s="135">
        <v>1</v>
      </c>
      <c r="C261" s="135" t="s">
        <v>1749</v>
      </c>
      <c r="D261" s="135" t="s">
        <v>1750</v>
      </c>
      <c r="E261" s="135" t="s">
        <v>1552</v>
      </c>
      <c r="F261" s="135">
        <v>6</v>
      </c>
      <c r="G261" s="135">
        <v>1</v>
      </c>
      <c r="H261" s="135" t="s">
        <v>1742</v>
      </c>
      <c r="I261" s="178"/>
      <c r="J261" s="178"/>
      <c r="K261" s="179">
        <v>2.9512E-2</v>
      </c>
      <c r="L261" s="179">
        <v>0</v>
      </c>
      <c r="M261" s="180">
        <f>K261/(1-'Sac Parametreleri'!$B$27)</f>
        <v>3.5990243902439024E-2</v>
      </c>
      <c r="N261" s="180">
        <f t="shared" si="20"/>
        <v>6.4782439024390244E-3</v>
      </c>
      <c r="O261" s="138">
        <f t="shared" si="21"/>
        <v>0.18</v>
      </c>
      <c r="P261" s="181">
        <f>IF(E261="Hardox 450",INDEX('Sac Parametreleri'!$G$11:$G$24,MATCH(F261,'Sac Parametreleri'!$A$11:$A$24,0)),INDEX('Sac Parametreleri'!$E$11:$E$24,MATCH(F261,'Sac Parametreleri'!$A$11:$A$24,0)))</f>
        <v>37.68</v>
      </c>
      <c r="Q261" s="181">
        <f>INDEX('Sac Parametreleri'!$F$11:$F$24,MATCH(F261,'Sac Parametreleri'!$A$11:$A$24,0))</f>
        <v>15.414545454545452</v>
      </c>
      <c r="R261" s="182">
        <f t="shared" si="22"/>
        <v>1.2562532051441242</v>
      </c>
      <c r="S261" s="182">
        <f t="shared" si="23"/>
        <v>1.2562532051441242</v>
      </c>
      <c r="T261" s="139">
        <f>K261*F261*'Sac Parametreleri'!$B$6*G261</f>
        <v>1.3900151999999999</v>
      </c>
      <c r="U261" s="139">
        <f>N261*F261*'Sac Parametreleri'!$B$6*G261</f>
        <v>0.30512528780487802</v>
      </c>
      <c r="V261" s="139">
        <f>M261*F261*'Sac Parametreleri'!$B$6*G261</f>
        <v>1.6951404878048781</v>
      </c>
      <c r="W261" s="135" t="s">
        <v>1520</v>
      </c>
    </row>
    <row r="262" spans="1:23" ht="15" customHeight="1" x14ac:dyDescent="0.25">
      <c r="A262" s="135" t="s">
        <v>488</v>
      </c>
      <c r="B262" s="135">
        <v>2</v>
      </c>
      <c r="C262" s="135" t="s">
        <v>1751</v>
      </c>
      <c r="D262" s="135" t="s">
        <v>1752</v>
      </c>
      <c r="E262" s="135" t="s">
        <v>1552</v>
      </c>
      <c r="F262" s="135">
        <v>6</v>
      </c>
      <c r="G262" s="135">
        <v>2</v>
      </c>
      <c r="H262" s="135" t="s">
        <v>1742</v>
      </c>
      <c r="I262" s="178"/>
      <c r="J262" s="178"/>
      <c r="K262" s="179">
        <v>1.9553999999999998E-2</v>
      </c>
      <c r="L262" s="179">
        <v>0</v>
      </c>
      <c r="M262" s="180">
        <f>K262/(1-'Sac Parametreleri'!$B$27)</f>
        <v>2.384634146341463E-2</v>
      </c>
      <c r="N262" s="180">
        <f t="shared" si="20"/>
        <v>4.2923414634146312E-3</v>
      </c>
      <c r="O262" s="138">
        <f t="shared" si="21"/>
        <v>0.17999999999999991</v>
      </c>
      <c r="P262" s="181">
        <f>IF(E262="Hardox 450",INDEX('Sac Parametreleri'!$G$11:$G$24,MATCH(F262,'Sac Parametreleri'!$A$11:$A$24,0)),INDEX('Sac Parametreleri'!$E$11:$E$24,MATCH(F262,'Sac Parametreleri'!$A$11:$A$24,0)))</f>
        <v>37.68</v>
      </c>
      <c r="Q262" s="181">
        <f>INDEX('Sac Parametreleri'!$F$11:$F$24,MATCH(F262,'Sac Parametreleri'!$A$11:$A$24,0))</f>
        <v>15.414545454545452</v>
      </c>
      <c r="R262" s="182">
        <f t="shared" si="22"/>
        <v>0.83236565374722826</v>
      </c>
      <c r="S262" s="182">
        <f t="shared" si="23"/>
        <v>1.6647313074944565</v>
      </c>
      <c r="T262" s="139">
        <f>K262*F262*'Sac Parametreleri'!$B$6*G262</f>
        <v>1.8419867999999997</v>
      </c>
      <c r="U262" s="139">
        <f>N262*F262*'Sac Parametreleri'!$B$6*G262</f>
        <v>0.40433856585365824</v>
      </c>
      <c r="V262" s="139">
        <f>M262*F262*'Sac Parametreleri'!$B$6*G262</f>
        <v>2.2463253658536577</v>
      </c>
      <c r="W262" s="135" t="s">
        <v>1520</v>
      </c>
    </row>
    <row r="263" spans="1:23" ht="15" customHeight="1" x14ac:dyDescent="0.25">
      <c r="A263" s="135" t="s">
        <v>488</v>
      </c>
      <c r="B263" s="135">
        <v>3</v>
      </c>
      <c r="C263" s="135" t="s">
        <v>1753</v>
      </c>
      <c r="D263" s="135" t="s">
        <v>1754</v>
      </c>
      <c r="E263" s="135" t="s">
        <v>1552</v>
      </c>
      <c r="F263" s="135">
        <v>6</v>
      </c>
      <c r="G263" s="135">
        <v>1</v>
      </c>
      <c r="H263" s="135" t="s">
        <v>1742</v>
      </c>
      <c r="I263" s="178"/>
      <c r="J263" s="178"/>
      <c r="K263" s="179">
        <v>8.9169999999999996E-3</v>
      </c>
      <c r="L263" s="179">
        <v>0</v>
      </c>
      <c r="M263" s="180">
        <f>K263/(1-'Sac Parametreleri'!$B$27)</f>
        <v>1.0874390243902438E-2</v>
      </c>
      <c r="N263" s="180">
        <f t="shared" si="20"/>
        <v>1.957390243902438E-3</v>
      </c>
      <c r="O263" s="138">
        <f t="shared" si="21"/>
        <v>0.17999999999999994</v>
      </c>
      <c r="P263" s="181">
        <f>IF(E263="Hardox 450",INDEX('Sac Parametreleri'!$G$11:$G$24,MATCH(F263,'Sac Parametreleri'!$A$11:$A$24,0)),INDEX('Sac Parametreleri'!$E$11:$E$24,MATCH(F263,'Sac Parametreleri'!$A$11:$A$24,0)))</f>
        <v>37.68</v>
      </c>
      <c r="Q263" s="181">
        <f>INDEX('Sac Parametreleri'!$F$11:$F$24,MATCH(F263,'Sac Parametreleri'!$A$11:$A$24,0))</f>
        <v>15.414545454545452</v>
      </c>
      <c r="R263" s="182">
        <f t="shared" si="22"/>
        <v>0.37957474350332593</v>
      </c>
      <c r="S263" s="182">
        <f t="shared" si="23"/>
        <v>0.37957474350332593</v>
      </c>
      <c r="T263" s="139">
        <f>K263*F263*'Sac Parametreleri'!$B$6*G263</f>
        <v>0.41999069999999994</v>
      </c>
      <c r="U263" s="139">
        <f>N263*F263*'Sac Parametreleri'!$B$6*G263</f>
        <v>9.2193080487804821E-2</v>
      </c>
      <c r="V263" s="139">
        <f>M263*F263*'Sac Parametreleri'!$B$6*G263</f>
        <v>0.51218378048780477</v>
      </c>
      <c r="W263" s="135" t="s">
        <v>1520</v>
      </c>
    </row>
    <row r="264" spans="1:23" ht="15" customHeight="1" x14ac:dyDescent="0.25">
      <c r="A264" s="135" t="s">
        <v>488</v>
      </c>
      <c r="B264" s="135">
        <v>4</v>
      </c>
      <c r="C264" s="135" t="s">
        <v>803</v>
      </c>
      <c r="D264" s="135" t="s">
        <v>804</v>
      </c>
      <c r="E264" s="135" t="s">
        <v>1552</v>
      </c>
      <c r="F264" s="135">
        <v>6</v>
      </c>
      <c r="G264" s="135">
        <v>1</v>
      </c>
      <c r="H264" s="135" t="s">
        <v>1746</v>
      </c>
      <c r="I264" s="178"/>
      <c r="J264" s="178"/>
      <c r="K264" s="179">
        <v>8.1740000000000007E-3</v>
      </c>
      <c r="L264" s="179">
        <v>0</v>
      </c>
      <c r="M264" s="180">
        <f>K264/(1-'Sac Parametreleri'!$B$29)</f>
        <v>1.0359949302915082E-2</v>
      </c>
      <c r="N264" s="180">
        <f t="shared" si="20"/>
        <v>2.1859493029150814E-3</v>
      </c>
      <c r="O264" s="138">
        <f t="shared" si="21"/>
        <v>0.21099999999999991</v>
      </c>
      <c r="P264" s="181">
        <f>IF(E264="Hardox 450",INDEX('Sac Parametreleri'!$G$11:$G$24,MATCH(F264,'Sac Parametreleri'!$A$11:$A$24,0)),INDEX('Sac Parametreleri'!$E$11:$E$24,MATCH(F264,'Sac Parametreleri'!$A$11:$A$24,0)))</f>
        <v>37.68</v>
      </c>
      <c r="Q264" s="181">
        <f>INDEX('Sac Parametreleri'!$F$11:$F$24,MATCH(F264,'Sac Parametreleri'!$A$11:$A$24,0))</f>
        <v>15.414545454545452</v>
      </c>
      <c r="R264" s="182">
        <f t="shared" si="22"/>
        <v>0.35666747484272388</v>
      </c>
      <c r="S264" s="182">
        <f t="shared" si="23"/>
        <v>0.35666747484272388</v>
      </c>
      <c r="T264" s="139">
        <f>K264*F264*'Sac Parametreleri'!$B$6*G264</f>
        <v>0.38499540000000004</v>
      </c>
      <c r="U264" s="139">
        <f>N264*F264*'Sac Parametreleri'!$B$6*G264</f>
        <v>0.10295821216730033</v>
      </c>
      <c r="V264" s="139">
        <f>M264*F264*'Sac Parametreleri'!$B$6*G264</f>
        <v>0.48795361216730032</v>
      </c>
      <c r="W264" s="135" t="s">
        <v>1520</v>
      </c>
    </row>
    <row r="265" spans="1:23" ht="15" customHeight="1" x14ac:dyDescent="0.25">
      <c r="A265" s="135" t="s">
        <v>488</v>
      </c>
      <c r="B265" s="135">
        <v>5</v>
      </c>
      <c r="C265" s="135" t="s">
        <v>1755</v>
      </c>
      <c r="D265" s="135" t="s">
        <v>1756</v>
      </c>
      <c r="E265" s="135" t="s">
        <v>1552</v>
      </c>
      <c r="F265" s="135">
        <v>10</v>
      </c>
      <c r="G265" s="135">
        <v>1</v>
      </c>
      <c r="H265" s="135" t="s">
        <v>1742</v>
      </c>
      <c r="I265" s="178"/>
      <c r="J265" s="178"/>
      <c r="K265" s="179">
        <v>4.9170000000000004E-3</v>
      </c>
      <c r="L265" s="179">
        <v>0</v>
      </c>
      <c r="M265" s="180">
        <f>K265/(1-'Sac Parametreleri'!$B$27)</f>
        <v>5.9963414634146344E-3</v>
      </c>
      <c r="N265" s="180">
        <f t="shared" si="20"/>
        <v>1.0793414634146341E-3</v>
      </c>
      <c r="O265" s="138">
        <f t="shared" si="21"/>
        <v>0.18</v>
      </c>
      <c r="P265" s="181">
        <f>IF(E265="Hardox 450",INDEX('Sac Parametreleri'!$G$11:$G$24,MATCH(F265,'Sac Parametreleri'!$A$11:$A$24,0)),INDEX('Sac Parametreleri'!$E$11:$E$24,MATCH(F265,'Sac Parametreleri'!$A$11:$A$24,0)))</f>
        <v>62.800000000000004</v>
      </c>
      <c r="Q265" s="181">
        <f>INDEX('Sac Parametreleri'!$F$11:$F$24,MATCH(F265,'Sac Parametreleri'!$A$11:$A$24,0))</f>
        <v>25.690909090909091</v>
      </c>
      <c r="R265" s="182">
        <f t="shared" si="22"/>
        <v>0.34884098048780493</v>
      </c>
      <c r="S265" s="182">
        <f t="shared" si="23"/>
        <v>0.34884098048780493</v>
      </c>
      <c r="T265" s="139">
        <f>K265*F265*'Sac Parametreleri'!$B$6*G265</f>
        <v>0.38598450000000001</v>
      </c>
      <c r="U265" s="139">
        <f>N265*F265*'Sac Parametreleri'!$B$6*G265</f>
        <v>8.4728304878048777E-2</v>
      </c>
      <c r="V265" s="139">
        <f>M265*F265*'Sac Parametreleri'!$B$6*G265</f>
        <v>0.47071280487804879</v>
      </c>
      <c r="W265" s="135" t="s">
        <v>1520</v>
      </c>
    </row>
    <row r="266" spans="1:23" ht="15" customHeight="1" x14ac:dyDescent="0.25">
      <c r="A266" s="135" t="s">
        <v>488</v>
      </c>
      <c r="B266" s="135">
        <v>6</v>
      </c>
      <c r="C266" s="135" t="s">
        <v>1757</v>
      </c>
      <c r="D266" s="135" t="s">
        <v>1758</v>
      </c>
      <c r="E266" s="135" t="s">
        <v>1552</v>
      </c>
      <c r="F266" s="135">
        <v>6</v>
      </c>
      <c r="G266" s="135">
        <v>1</v>
      </c>
      <c r="H266" s="135" t="s">
        <v>1742</v>
      </c>
      <c r="I266" s="178"/>
      <c r="J266" s="178"/>
      <c r="K266" s="179">
        <v>7.2820000000000003E-3</v>
      </c>
      <c r="L266" s="179">
        <v>0</v>
      </c>
      <c r="M266" s="180">
        <f>K266/(1-'Sac Parametreleri'!$B$27)</f>
        <v>8.880487804878049E-3</v>
      </c>
      <c r="N266" s="180">
        <f t="shared" si="20"/>
        <v>1.5984878048780488E-3</v>
      </c>
      <c r="O266" s="138">
        <f t="shared" si="21"/>
        <v>0.18</v>
      </c>
      <c r="P266" s="181">
        <f>IF(E266="Hardox 450",INDEX('Sac Parametreleri'!$G$11:$G$24,MATCH(F266,'Sac Parametreleri'!$A$11:$A$24,0)),INDEX('Sac Parametreleri'!$E$11:$E$24,MATCH(F266,'Sac Parametreleri'!$A$11:$A$24,0)))</f>
        <v>37.68</v>
      </c>
      <c r="Q266" s="181">
        <f>INDEX('Sac Parametreleri'!$F$11:$F$24,MATCH(F266,'Sac Parametreleri'!$A$11:$A$24,0))</f>
        <v>15.414545454545452</v>
      </c>
      <c r="R266" s="182">
        <f t="shared" si="22"/>
        <v>0.30997681756097567</v>
      </c>
      <c r="S266" s="182">
        <f t="shared" si="23"/>
        <v>0.30997681756097567</v>
      </c>
      <c r="T266" s="139">
        <f>K266*F266*'Sac Parametreleri'!$B$6*G266</f>
        <v>0.34298220000000001</v>
      </c>
      <c r="U266" s="139">
        <f>N266*F266*'Sac Parametreleri'!$B$6*G266</f>
        <v>7.5288775609756095E-2</v>
      </c>
      <c r="V266" s="139">
        <f>M266*F266*'Sac Parametreleri'!$B$6*G266</f>
        <v>0.41827097560975607</v>
      </c>
      <c r="W266" s="135" t="s">
        <v>1520</v>
      </c>
    </row>
    <row r="267" spans="1:23" ht="15" customHeight="1" x14ac:dyDescent="0.25">
      <c r="A267" s="135" t="s">
        <v>577</v>
      </c>
      <c r="B267" s="135">
        <v>1</v>
      </c>
      <c r="C267" s="135" t="s">
        <v>1759</v>
      </c>
      <c r="D267" s="135" t="s">
        <v>1760</v>
      </c>
      <c r="E267" s="135" t="s">
        <v>1552</v>
      </c>
      <c r="F267" s="135">
        <v>20</v>
      </c>
      <c r="G267" s="135">
        <v>1</v>
      </c>
      <c r="H267" s="135" t="s">
        <v>1742</v>
      </c>
      <c r="I267" s="178"/>
      <c r="J267" s="178"/>
      <c r="K267" s="179">
        <v>3.0891999999999999E-2</v>
      </c>
      <c r="L267" s="179">
        <v>0</v>
      </c>
      <c r="M267" s="180">
        <f>K267/(1-'Sac Parametreleri'!$B$27)</f>
        <v>3.7673170731707312E-2</v>
      </c>
      <c r="N267" s="180">
        <f t="shared" si="20"/>
        <v>6.7811707317073124E-3</v>
      </c>
      <c r="O267" s="138">
        <f t="shared" si="21"/>
        <v>0.17999999999999991</v>
      </c>
      <c r="P267" s="181">
        <f>IF(E267="Hardox 450",INDEX('Sac Parametreleri'!$G$11:$G$24,MATCH(F267,'Sac Parametreleri'!$A$11:$A$24,0)),INDEX('Sac Parametreleri'!$E$11:$E$24,MATCH(F267,'Sac Parametreleri'!$A$11:$A$24,0)))</f>
        <v>125.60000000000001</v>
      </c>
      <c r="Q267" s="181">
        <f>INDEX('Sac Parametreleri'!$F$11:$F$24,MATCH(F267,'Sac Parametreleri'!$A$11:$A$24,0))</f>
        <v>51.381818181818183</v>
      </c>
      <c r="R267" s="182">
        <f t="shared" si="22"/>
        <v>4.3833213623059866</v>
      </c>
      <c r="S267" s="182">
        <f t="shared" si="23"/>
        <v>4.3833213623059866</v>
      </c>
      <c r="T267" s="139">
        <f>K267*F267*'Sac Parametreleri'!$B$6*G267</f>
        <v>4.8500439999999996</v>
      </c>
      <c r="U267" s="139">
        <f>N267*F267*'Sac Parametreleri'!$B$6*G267</f>
        <v>1.0646438048780478</v>
      </c>
      <c r="V267" s="139">
        <f>M267*F267*'Sac Parametreleri'!$B$6*G267</f>
        <v>5.9146878048780476</v>
      </c>
      <c r="W267" s="135" t="s">
        <v>1520</v>
      </c>
    </row>
    <row r="268" spans="1:23" ht="15" customHeight="1" x14ac:dyDescent="0.25">
      <c r="A268" s="135" t="s">
        <v>577</v>
      </c>
      <c r="B268" s="135">
        <v>3</v>
      </c>
      <c r="C268" s="135" t="s">
        <v>1761</v>
      </c>
      <c r="D268" s="135" t="s">
        <v>1762</v>
      </c>
      <c r="E268" s="135" t="s">
        <v>1552</v>
      </c>
      <c r="F268" s="135">
        <v>6</v>
      </c>
      <c r="G268" s="135">
        <v>1</v>
      </c>
      <c r="H268" s="135" t="s">
        <v>1742</v>
      </c>
      <c r="I268" s="178"/>
      <c r="J268" s="178"/>
      <c r="K268" s="179">
        <v>6.1570000000000001E-3</v>
      </c>
      <c r="L268" s="179">
        <v>0</v>
      </c>
      <c r="M268" s="180">
        <f>K268/(1-'Sac Parametreleri'!$B$27)</f>
        <v>7.5085365853658536E-3</v>
      </c>
      <c r="N268" s="180">
        <f t="shared" si="20"/>
        <v>1.3515365853658534E-3</v>
      </c>
      <c r="O268" s="138">
        <f t="shared" si="21"/>
        <v>0.17999999999999997</v>
      </c>
      <c r="P268" s="181">
        <f>IF(E268="Hardox 450",INDEX('Sac Parametreleri'!$G$11:$G$24,MATCH(F268,'Sac Parametreleri'!$A$11:$A$24,0)),INDEX('Sac Parametreleri'!$E$11:$E$24,MATCH(F268,'Sac Parametreleri'!$A$11:$A$24,0)))</f>
        <v>37.68</v>
      </c>
      <c r="Q268" s="181">
        <f>INDEX('Sac Parametreleri'!$F$11:$F$24,MATCH(F268,'Sac Parametreleri'!$A$11:$A$24,0))</f>
        <v>15.414545454545452</v>
      </c>
      <c r="R268" s="182">
        <f t="shared" si="22"/>
        <v>0.26208833640798224</v>
      </c>
      <c r="S268" s="182">
        <f t="shared" si="23"/>
        <v>0.26208833640798224</v>
      </c>
      <c r="T268" s="139">
        <f>K268*F268*'Sac Parametreleri'!$B$6*G268</f>
        <v>0.28999469999999999</v>
      </c>
      <c r="U268" s="139">
        <f>N268*F268*'Sac Parametreleri'!$B$6*G268</f>
        <v>6.3657373170731696E-2</v>
      </c>
      <c r="V268" s="139">
        <f>M268*F268*'Sac Parametreleri'!$B$6*G268</f>
        <v>0.35365207317073172</v>
      </c>
      <c r="W268" s="135" t="s">
        <v>1520</v>
      </c>
    </row>
    <row r="269" spans="1:23" ht="15" customHeight="1" x14ac:dyDescent="0.25">
      <c r="A269" s="135" t="s">
        <v>489</v>
      </c>
      <c r="B269" s="135">
        <v>2</v>
      </c>
      <c r="C269" s="135" t="s">
        <v>792</v>
      </c>
      <c r="D269" s="135" t="s">
        <v>793</v>
      </c>
      <c r="E269" s="135" t="s">
        <v>1552</v>
      </c>
      <c r="F269" s="135">
        <v>4</v>
      </c>
      <c r="G269" s="135">
        <v>3</v>
      </c>
      <c r="H269" s="135" t="s">
        <v>1746</v>
      </c>
      <c r="I269" s="178"/>
      <c r="J269" s="178"/>
      <c r="K269" s="179">
        <v>3.6879000000000002E-2</v>
      </c>
      <c r="L269" s="179">
        <v>0</v>
      </c>
      <c r="M269" s="180">
        <f>K269/(1-'Sac Parametreleri'!$B$29)</f>
        <v>4.6741444866920154E-2</v>
      </c>
      <c r="N269" s="180">
        <f t="shared" si="20"/>
        <v>9.8624448669201517E-3</v>
      </c>
      <c r="O269" s="138">
        <f t="shared" si="21"/>
        <v>0.21099999999999999</v>
      </c>
      <c r="P269" s="181">
        <f>IF(E269="Hardox 450",INDEX('Sac Parametreleri'!$G$11:$G$24,MATCH(F269,'Sac Parametreleri'!$A$11:$A$24,0)),INDEX('Sac Parametreleri'!$E$11:$E$24,MATCH(F269,'Sac Parametreleri'!$A$11:$A$24,0)))</f>
        <v>25.12</v>
      </c>
      <c r="Q269" s="181">
        <f>INDEX('Sac Parametreleri'!$F$11:$F$24,MATCH(F269,'Sac Parametreleri'!$A$11:$A$24,0))</f>
        <v>10.276363636363635</v>
      </c>
      <c r="R269" s="182">
        <f t="shared" si="22"/>
        <v>1.0727950252609748</v>
      </c>
      <c r="S269" s="182">
        <f t="shared" si="23"/>
        <v>3.2183850757829244</v>
      </c>
      <c r="T269" s="139">
        <f>K269*F269*'Sac Parametreleri'!$B$6*G269</f>
        <v>3.4740017999999999</v>
      </c>
      <c r="U269" s="139">
        <f>N269*F269*'Sac Parametreleri'!$B$6*G269</f>
        <v>0.9290423064638782</v>
      </c>
      <c r="V269" s="139">
        <f>M269*F269*'Sac Parametreleri'!$B$6*G269</f>
        <v>4.403044106463879</v>
      </c>
      <c r="W269" s="135" t="s">
        <v>1520</v>
      </c>
    </row>
    <row r="270" spans="1:23" ht="15" customHeight="1" x14ac:dyDescent="0.25">
      <c r="A270" s="135" t="s">
        <v>489</v>
      </c>
      <c r="B270" s="135">
        <v>3</v>
      </c>
      <c r="C270" s="135" t="s">
        <v>1747</v>
      </c>
      <c r="D270" s="135" t="s">
        <v>1748</v>
      </c>
      <c r="E270" s="135" t="s">
        <v>1552</v>
      </c>
      <c r="F270" s="135">
        <v>4</v>
      </c>
      <c r="G270" s="135">
        <v>1</v>
      </c>
      <c r="H270" s="135" t="s">
        <v>1742</v>
      </c>
      <c r="I270" s="178"/>
      <c r="J270" s="178"/>
      <c r="K270" s="179">
        <v>1.815E-3</v>
      </c>
      <c r="L270" s="179">
        <v>0</v>
      </c>
      <c r="M270" s="180">
        <f>K270/(1-'Sac Parametreleri'!$B$27)</f>
        <v>2.2134146341463413E-3</v>
      </c>
      <c r="N270" s="180">
        <f t="shared" si="20"/>
        <v>3.9841463414634127E-4</v>
      </c>
      <c r="O270" s="138">
        <f t="shared" si="21"/>
        <v>0.17999999999999994</v>
      </c>
      <c r="P270" s="181">
        <f>IF(E270="Hardox 450",INDEX('Sac Parametreleri'!$G$11:$G$24,MATCH(F270,'Sac Parametreleri'!$A$11:$A$24,0)),INDEX('Sac Parametreleri'!$E$11:$E$24,MATCH(F270,'Sac Parametreleri'!$A$11:$A$24,0)))</f>
        <v>25.12</v>
      </c>
      <c r="Q270" s="181">
        <f>INDEX('Sac Parametreleri'!$F$11:$F$24,MATCH(F270,'Sac Parametreleri'!$A$11:$A$24,0))</f>
        <v>10.276363636363635</v>
      </c>
      <c r="R270" s="182">
        <f t="shared" si="22"/>
        <v>5.1506721951219511E-2</v>
      </c>
      <c r="S270" s="182">
        <f t="shared" si="23"/>
        <v>5.1506721951219511E-2</v>
      </c>
      <c r="T270" s="139">
        <f>K270*F270*'Sac Parametreleri'!$B$6*G270</f>
        <v>5.6991E-2</v>
      </c>
      <c r="U270" s="139">
        <f>N270*F270*'Sac Parametreleri'!$B$6*G270</f>
        <v>1.2510219512195116E-2</v>
      </c>
      <c r="V270" s="139">
        <f>M270*F270*'Sac Parametreleri'!$B$6*G270</f>
        <v>6.9501219512195109E-2</v>
      </c>
      <c r="W270" s="135" t="s">
        <v>1520</v>
      </c>
    </row>
    <row r="271" spans="1:23" ht="15" customHeight="1" x14ac:dyDescent="0.25">
      <c r="A271" s="135" t="s">
        <v>489</v>
      </c>
      <c r="B271" s="135">
        <v>4</v>
      </c>
      <c r="C271" s="135" t="s">
        <v>1763</v>
      </c>
      <c r="D271" s="135" t="s">
        <v>1764</v>
      </c>
      <c r="E271" s="135" t="s">
        <v>1552</v>
      </c>
      <c r="F271" s="135">
        <v>10</v>
      </c>
      <c r="G271" s="135">
        <v>1</v>
      </c>
      <c r="H271" s="135" t="s">
        <v>1742</v>
      </c>
      <c r="I271" s="178"/>
      <c r="J271" s="178"/>
      <c r="K271" s="179">
        <v>7.796E-3</v>
      </c>
      <c r="L271" s="179">
        <v>0</v>
      </c>
      <c r="M271" s="180">
        <f>K271/(1-'Sac Parametreleri'!$B$27)</f>
        <v>9.5073170731707311E-3</v>
      </c>
      <c r="N271" s="180">
        <f t="shared" si="20"/>
        <v>1.7113170731707312E-3</v>
      </c>
      <c r="O271" s="138">
        <f t="shared" si="21"/>
        <v>0.17999999999999997</v>
      </c>
      <c r="P271" s="181">
        <f>IF(E271="Hardox 450",INDEX('Sac Parametreleri'!$G$11:$G$24,MATCH(F271,'Sac Parametreleri'!$A$11:$A$24,0)),INDEX('Sac Parametreleri'!$E$11:$E$24,MATCH(F271,'Sac Parametreleri'!$A$11:$A$24,0)))</f>
        <v>62.800000000000004</v>
      </c>
      <c r="Q271" s="181">
        <f>INDEX('Sac Parametreleri'!$F$11:$F$24,MATCH(F271,'Sac Parametreleri'!$A$11:$A$24,0))</f>
        <v>25.690909090909091</v>
      </c>
      <c r="R271" s="182">
        <f t="shared" si="22"/>
        <v>0.55309422084257209</v>
      </c>
      <c r="S271" s="182">
        <f t="shared" si="23"/>
        <v>0.55309422084257209</v>
      </c>
      <c r="T271" s="139">
        <f>K271*F271*'Sac Parametreleri'!$B$6*G271</f>
        <v>0.61198600000000003</v>
      </c>
      <c r="U271" s="139">
        <f>N271*F271*'Sac Parametreleri'!$B$6*G271</f>
        <v>0.13433839024390237</v>
      </c>
      <c r="V271" s="139">
        <f>M271*F271*'Sac Parametreleri'!$B$6*G271</f>
        <v>0.7463243902439024</v>
      </c>
      <c r="W271" s="135" t="s">
        <v>1520</v>
      </c>
    </row>
    <row r="272" spans="1:23" ht="15" customHeight="1" x14ac:dyDescent="0.25">
      <c r="A272" s="135" t="s">
        <v>526</v>
      </c>
      <c r="B272" s="135">
        <v>1</v>
      </c>
      <c r="C272" s="135" t="s">
        <v>912</v>
      </c>
      <c r="D272" s="135" t="s">
        <v>913</v>
      </c>
      <c r="E272" s="135" t="s">
        <v>1552</v>
      </c>
      <c r="F272" s="135">
        <v>8</v>
      </c>
      <c r="G272" s="135">
        <v>1</v>
      </c>
      <c r="H272" s="135" t="s">
        <v>1765</v>
      </c>
      <c r="I272" s="178"/>
      <c r="J272" s="178"/>
      <c r="K272" s="179">
        <v>6.5365999999999994E-2</v>
      </c>
      <c r="L272" s="179">
        <v>0</v>
      </c>
      <c r="M272" s="180">
        <f>K272/(1-'Sac Parametreleri'!$B$29)</f>
        <v>8.2846641318124192E-2</v>
      </c>
      <c r="N272" s="180">
        <f t="shared" si="20"/>
        <v>1.7480641318124199E-2</v>
      </c>
      <c r="O272" s="138">
        <f t="shared" si="21"/>
        <v>0.21099999999999994</v>
      </c>
      <c r="P272" s="181">
        <f>IF(E272="Hardox 450",INDEX('Sac Parametreleri'!$G$11:$G$24,MATCH(F272,'Sac Parametreleri'!$A$11:$A$24,0)),INDEX('Sac Parametreleri'!$E$11:$E$24,MATCH(F272,'Sac Parametreleri'!$A$11:$A$24,0)))</f>
        <v>50.24</v>
      </c>
      <c r="Q272" s="181">
        <f>INDEX('Sac Parametreleri'!$F$11:$F$24,MATCH(F272,'Sac Parametreleri'!$A$11:$A$24,0))</f>
        <v>20.552727272727271</v>
      </c>
      <c r="R272" s="182">
        <f t="shared" si="22"/>
        <v>3.8029404062587853</v>
      </c>
      <c r="S272" s="182">
        <f t="shared" si="23"/>
        <v>3.8029404062587853</v>
      </c>
      <c r="T272" s="139">
        <f>K272*F272*'Sac Parametreleri'!$B$6*G272</f>
        <v>4.1049847999999995</v>
      </c>
      <c r="U272" s="139">
        <f>N272*F272*'Sac Parametreleri'!$B$6*G272</f>
        <v>1.0977842747781996</v>
      </c>
      <c r="V272" s="139">
        <f>M272*F272*'Sac Parametreleri'!$B$6*G272</f>
        <v>5.2027690747781987</v>
      </c>
      <c r="W272" s="135" t="s">
        <v>1520</v>
      </c>
    </row>
    <row r="273" spans="1:24" ht="15" customHeight="1" x14ac:dyDescent="0.25">
      <c r="A273" s="135" t="s">
        <v>526</v>
      </c>
      <c r="B273" s="135">
        <v>2</v>
      </c>
      <c r="C273" s="135" t="s">
        <v>914</v>
      </c>
      <c r="D273" s="135" t="s">
        <v>915</v>
      </c>
      <c r="E273" s="135" t="s">
        <v>1552</v>
      </c>
      <c r="F273" s="135">
        <v>8</v>
      </c>
      <c r="G273" s="135">
        <v>1</v>
      </c>
      <c r="H273" s="135" t="s">
        <v>1746</v>
      </c>
      <c r="I273" s="178"/>
      <c r="J273" s="178"/>
      <c r="K273" s="179">
        <v>2.6623999999999998E-2</v>
      </c>
      <c r="L273" s="179">
        <v>0</v>
      </c>
      <c r="M273" s="180">
        <f>K273/(1-'Sac Parametreleri'!$B$29)</f>
        <v>3.374397972116603E-2</v>
      </c>
      <c r="N273" s="180">
        <f t="shared" si="20"/>
        <v>7.1199797211660316E-3</v>
      </c>
      <c r="O273" s="138">
        <f t="shared" si="21"/>
        <v>0.21099999999999999</v>
      </c>
      <c r="P273" s="181">
        <f>IF(E273="Hardox 450",INDEX('Sac Parametreleri'!$G$11:$G$24,MATCH(F273,'Sac Parametreleri'!$A$11:$A$24,0)),INDEX('Sac Parametreleri'!$E$11:$E$24,MATCH(F273,'Sac Parametreleri'!$A$11:$A$24,0)))</f>
        <v>50.24</v>
      </c>
      <c r="Q273" s="181">
        <f>INDEX('Sac Parametreleri'!$F$11:$F$24,MATCH(F273,'Sac Parametreleri'!$A$11:$A$24,0))</f>
        <v>20.552727272727271</v>
      </c>
      <c r="R273" s="182">
        <f t="shared" si="22"/>
        <v>1.5489625397949072</v>
      </c>
      <c r="S273" s="182">
        <f t="shared" si="23"/>
        <v>1.5489625397949072</v>
      </c>
      <c r="T273" s="139">
        <f>K273*F273*'Sac Parametreleri'!$B$6*G273</f>
        <v>1.6719871999999998</v>
      </c>
      <c r="U273" s="139">
        <f>N273*F273*'Sac Parametreleri'!$B$6*G273</f>
        <v>0.44713472648922675</v>
      </c>
      <c r="V273" s="139">
        <f>M273*F273*'Sac Parametreleri'!$B$6*G273</f>
        <v>2.1191219264892265</v>
      </c>
      <c r="W273" s="135" t="s">
        <v>1520</v>
      </c>
    </row>
    <row r="274" spans="1:24" ht="15" customHeight="1" x14ac:dyDescent="0.25">
      <c r="A274" s="135" t="s">
        <v>526</v>
      </c>
      <c r="B274" s="135">
        <v>3</v>
      </c>
      <c r="C274" s="135" t="s">
        <v>1766</v>
      </c>
      <c r="D274" s="135" t="s">
        <v>1767</v>
      </c>
      <c r="E274" s="135" t="s">
        <v>1552</v>
      </c>
      <c r="F274" s="135">
        <v>5</v>
      </c>
      <c r="G274" s="135">
        <v>2</v>
      </c>
      <c r="H274" s="135" t="s">
        <v>1742</v>
      </c>
      <c r="I274" s="178"/>
      <c r="J274" s="178"/>
      <c r="K274" s="179">
        <v>7.8469999999999998E-3</v>
      </c>
      <c r="L274" s="179">
        <v>0</v>
      </c>
      <c r="M274" s="180">
        <f>K274/(1-'Sac Parametreleri'!$B$27)</f>
        <v>9.5695121951219504E-3</v>
      </c>
      <c r="N274" s="180">
        <f t="shared" si="20"/>
        <v>1.7225121951219505E-3</v>
      </c>
      <c r="O274" s="138">
        <f t="shared" si="21"/>
        <v>0.17999999999999994</v>
      </c>
      <c r="P274" s="181">
        <f>IF(E274="Hardox 450",INDEX('Sac Parametreleri'!$G$11:$G$24,MATCH(F274,'Sac Parametreleri'!$A$11:$A$24,0)),INDEX('Sac Parametreleri'!$E$11:$E$24,MATCH(F274,'Sac Parametreleri'!$A$11:$A$24,0)))</f>
        <v>31.400000000000002</v>
      </c>
      <c r="Q274" s="181">
        <f>INDEX('Sac Parametreleri'!$F$11:$F$24,MATCH(F274,'Sac Parametreleri'!$A$11:$A$24,0))</f>
        <v>12.845454545454546</v>
      </c>
      <c r="R274" s="182">
        <f t="shared" si="22"/>
        <v>0.27835623082039912</v>
      </c>
      <c r="S274" s="182">
        <f t="shared" si="23"/>
        <v>0.55671246164079824</v>
      </c>
      <c r="T274" s="139">
        <f>K274*F274*'Sac Parametreleri'!$B$6*G274</f>
        <v>0.61598949999999997</v>
      </c>
      <c r="U274" s="139">
        <f>N274*F274*'Sac Parametreleri'!$B$6*G274</f>
        <v>0.13521720731707312</v>
      </c>
      <c r="V274" s="139">
        <f>M274*F274*'Sac Parametreleri'!$B$6*G274</f>
        <v>0.75120670731707306</v>
      </c>
      <c r="W274" s="135" t="s">
        <v>1520</v>
      </c>
    </row>
    <row r="275" spans="1:24" ht="15" customHeight="1" x14ac:dyDescent="0.25">
      <c r="A275" s="135" t="s">
        <v>526</v>
      </c>
      <c r="B275" s="135">
        <v>4</v>
      </c>
      <c r="C275" s="135" t="s">
        <v>1768</v>
      </c>
      <c r="D275" s="135" t="s">
        <v>1769</v>
      </c>
      <c r="E275" s="135" t="s">
        <v>1552</v>
      </c>
      <c r="F275" s="135">
        <v>5</v>
      </c>
      <c r="G275" s="135">
        <v>1</v>
      </c>
      <c r="H275" s="135" t="s">
        <v>1742</v>
      </c>
      <c r="I275" s="178"/>
      <c r="J275" s="178"/>
      <c r="K275" s="179">
        <v>1.0701E-2</v>
      </c>
      <c r="L275" s="179">
        <v>0</v>
      </c>
      <c r="M275" s="180">
        <f>K275/(1-'Sac Parametreleri'!$B$27)</f>
        <v>1.3049999999999999E-2</v>
      </c>
      <c r="N275" s="180">
        <f t="shared" si="20"/>
        <v>2.3489999999999987E-3</v>
      </c>
      <c r="O275" s="138">
        <f t="shared" si="21"/>
        <v>0.17999999999999991</v>
      </c>
      <c r="P275" s="181">
        <f>IF(E275="Hardox 450",INDEX('Sac Parametreleri'!$G$11:$G$24,MATCH(F275,'Sac Parametreleri'!$A$11:$A$24,0)),INDEX('Sac Parametreleri'!$E$11:$E$24,MATCH(F275,'Sac Parametreleri'!$A$11:$A$24,0)))</f>
        <v>31.400000000000002</v>
      </c>
      <c r="Q275" s="181">
        <f>INDEX('Sac Parametreleri'!$F$11:$F$24,MATCH(F275,'Sac Parametreleri'!$A$11:$A$24,0))</f>
        <v>12.845454545454546</v>
      </c>
      <c r="R275" s="182">
        <f t="shared" si="22"/>
        <v>0.37959602727272729</v>
      </c>
      <c r="S275" s="182">
        <f t="shared" si="23"/>
        <v>0.37959602727272729</v>
      </c>
      <c r="T275" s="139">
        <f>K275*F275*'Sac Parametreleri'!$B$6*G275</f>
        <v>0.42001425000000003</v>
      </c>
      <c r="U275" s="139">
        <f>N275*F275*'Sac Parametreleri'!$B$6*G275</f>
        <v>9.219824999999994E-2</v>
      </c>
      <c r="V275" s="139">
        <f>M275*F275*'Sac Parametreleri'!$B$6*G275</f>
        <v>0.51221249999999996</v>
      </c>
      <c r="W275" s="135" t="s">
        <v>1520</v>
      </c>
    </row>
    <row r="276" spans="1:24" ht="21.75" customHeight="1" x14ac:dyDescent="0.25">
      <c r="A276" s="125" t="s">
        <v>620</v>
      </c>
      <c r="B276" s="125">
        <v>2</v>
      </c>
      <c r="C276" s="125" t="s">
        <v>1770</v>
      </c>
      <c r="D276" s="125" t="s">
        <v>1771</v>
      </c>
      <c r="E276" s="125" t="s">
        <v>1552</v>
      </c>
      <c r="F276" s="125">
        <v>12</v>
      </c>
      <c r="G276" s="125">
        <v>1</v>
      </c>
      <c r="H276" s="125" t="s">
        <v>1772</v>
      </c>
      <c r="I276" s="164">
        <v>220</v>
      </c>
      <c r="J276" s="164">
        <v>140</v>
      </c>
      <c r="K276" s="165">
        <v>2.9770000000000001E-2</v>
      </c>
      <c r="L276" s="165">
        <v>9.3700000000000001E-4</v>
      </c>
      <c r="M276" s="166">
        <f>I276*J276/1000000</f>
        <v>3.0800000000000001E-2</v>
      </c>
      <c r="N276" s="166">
        <f t="shared" si="20"/>
        <v>1.0299999999999997E-3</v>
      </c>
      <c r="O276" s="128">
        <f t="shared" si="21"/>
        <v>3.3441558441558432E-2</v>
      </c>
      <c r="P276" s="167">
        <f>IF(E276="Hardox 450",INDEX('Sac Parametreleri'!$G$11:$G$24,MATCH(F276,'Sac Parametreleri'!$A$11:$A$24,0)),INDEX('Sac Parametreleri'!$E$11:$E$24,MATCH(F276,'Sac Parametreleri'!$A$11:$A$24,0)))</f>
        <v>75.36</v>
      </c>
      <c r="Q276" s="167">
        <f>INDEX('Sac Parametreleri'!$F$11:$F$24,MATCH(F276,'Sac Parametreleri'!$A$11:$A$24,0))</f>
        <v>30.829090909090905</v>
      </c>
      <c r="R276" s="168">
        <f t="shared" si="22"/>
        <v>2.2893340363636363</v>
      </c>
      <c r="S276" s="168">
        <f t="shared" si="23"/>
        <v>2.2893340363636363</v>
      </c>
      <c r="T276" s="129">
        <f>K276*F276*'Sac Parametreleri'!$B$6*G276</f>
        <v>2.8043339999999999</v>
      </c>
      <c r="U276" s="129">
        <f>N276*F276*'Sac Parametreleri'!$B$6*G276</f>
        <v>9.7025999999999959E-2</v>
      </c>
      <c r="V276" s="129">
        <f>M276*F276*'Sac Parametreleri'!$B$6*G276</f>
        <v>2.9013600000000004</v>
      </c>
      <c r="W276" s="125" t="s">
        <v>1520</v>
      </c>
      <c r="X276" s="169" t="s">
        <v>1773</v>
      </c>
    </row>
    <row r="277" spans="1:24" ht="15" customHeight="1" x14ac:dyDescent="0.25">
      <c r="A277" s="135" t="s">
        <v>530</v>
      </c>
      <c r="B277" s="135">
        <v>1</v>
      </c>
      <c r="C277" s="135" t="s">
        <v>791</v>
      </c>
      <c r="D277" s="135" t="s">
        <v>749</v>
      </c>
      <c r="E277" s="135" t="s">
        <v>1552</v>
      </c>
      <c r="F277" s="135">
        <v>8</v>
      </c>
      <c r="G277" s="135">
        <v>1</v>
      </c>
      <c r="H277" s="135" t="s">
        <v>1746</v>
      </c>
      <c r="I277" s="178"/>
      <c r="J277" s="178"/>
      <c r="K277" s="179">
        <v>8.4634000000000001E-2</v>
      </c>
      <c r="L277" s="179">
        <v>0</v>
      </c>
      <c r="M277" s="180">
        <f>K277/(1-'Sac Parametreleri'!$B$29)</f>
        <v>0.10726742712294043</v>
      </c>
      <c r="N277" s="180">
        <f t="shared" si="20"/>
        <v>2.2633427122940433E-2</v>
      </c>
      <c r="O277" s="138">
        <f t="shared" si="21"/>
        <v>0.21100000000000002</v>
      </c>
      <c r="P277" s="181">
        <f>IF(E277="Hardox 450",INDEX('Sac Parametreleri'!$G$11:$G$24,MATCH(F277,'Sac Parametreleri'!$A$11:$A$24,0)),INDEX('Sac Parametreleri'!$E$11:$E$24,MATCH(F277,'Sac Parametreleri'!$A$11:$A$24,0)))</f>
        <v>50.24</v>
      </c>
      <c r="Q277" s="181">
        <f>INDEX('Sac Parametreleri'!$F$11:$F$24,MATCH(F277,'Sac Parametreleri'!$A$11:$A$24,0))</f>
        <v>20.552727272727271</v>
      </c>
      <c r="R277" s="182">
        <f t="shared" si="22"/>
        <v>4.9239368837515851</v>
      </c>
      <c r="S277" s="182">
        <f t="shared" si="23"/>
        <v>4.9239368837515851</v>
      </c>
      <c r="T277" s="139">
        <f>K277*F277*'Sac Parametreleri'!$B$6*G277</f>
        <v>5.3150151999999995</v>
      </c>
      <c r="U277" s="139">
        <f>N277*F277*'Sac Parametreleri'!$B$6*G277</f>
        <v>1.4213792233206592</v>
      </c>
      <c r="V277" s="139">
        <f>M277*F277*'Sac Parametreleri'!$B$6*G277</f>
        <v>6.7363944233206592</v>
      </c>
      <c r="W277" s="135" t="s">
        <v>1520</v>
      </c>
    </row>
    <row r="278" spans="1:24" ht="15" customHeight="1" x14ac:dyDescent="0.25">
      <c r="A278" s="135" t="s">
        <v>530</v>
      </c>
      <c r="B278" s="135">
        <v>2</v>
      </c>
      <c r="C278" s="135" t="s">
        <v>1774</v>
      </c>
      <c r="D278" s="135" t="s">
        <v>749</v>
      </c>
      <c r="E278" s="135" t="s">
        <v>1552</v>
      </c>
      <c r="F278" s="135">
        <v>8</v>
      </c>
      <c r="G278" s="135">
        <v>1</v>
      </c>
      <c r="H278" s="135" t="s">
        <v>1742</v>
      </c>
      <c r="I278" s="178"/>
      <c r="J278" s="178"/>
      <c r="K278" s="179">
        <v>2.0556999999999999E-2</v>
      </c>
      <c r="L278" s="179">
        <v>0</v>
      </c>
      <c r="M278" s="180">
        <f>K278/(1-'Sac Parametreleri'!$B$27)</f>
        <v>2.5069512195121949E-2</v>
      </c>
      <c r="N278" s="180">
        <f t="shared" si="20"/>
        <v>4.5125121951219496E-3</v>
      </c>
      <c r="O278" s="138">
        <f t="shared" si="21"/>
        <v>0.17999999999999997</v>
      </c>
      <c r="P278" s="181">
        <f>IF(E278="Hardox 450",INDEX('Sac Parametreleri'!$G$11:$G$24,MATCH(F278,'Sac Parametreleri'!$A$11:$A$24,0)),INDEX('Sac Parametreleri'!$E$11:$E$24,MATCH(F278,'Sac Parametreleri'!$A$11:$A$24,0)))</f>
        <v>50.24</v>
      </c>
      <c r="Q278" s="181">
        <f>INDEX('Sac Parametreleri'!$F$11:$F$24,MATCH(F278,'Sac Parametreleri'!$A$11:$A$24,0))</f>
        <v>20.552727272727271</v>
      </c>
      <c r="R278" s="182">
        <f t="shared" si="22"/>
        <v>1.1667478602217296</v>
      </c>
      <c r="S278" s="182">
        <f t="shared" si="23"/>
        <v>1.1667478602217296</v>
      </c>
      <c r="T278" s="139">
        <f>K278*F278*'Sac Parametreleri'!$B$6*G278</f>
        <v>1.2909795999999998</v>
      </c>
      <c r="U278" s="139">
        <f>N278*F278*'Sac Parametreleri'!$B$6*G278</f>
        <v>0.28338576585365843</v>
      </c>
      <c r="V278" s="139">
        <f>M278*F278*'Sac Parametreleri'!$B$6*G278</f>
        <v>1.5743653658536583</v>
      </c>
      <c r="W278" s="135" t="s">
        <v>1520</v>
      </c>
    </row>
    <row r="279" spans="1:24" ht="15" customHeight="1" x14ac:dyDescent="0.25">
      <c r="A279" s="135" t="s">
        <v>578</v>
      </c>
      <c r="B279" s="135">
        <v>1</v>
      </c>
      <c r="C279" s="135" t="s">
        <v>1775</v>
      </c>
      <c r="D279" s="135" t="s">
        <v>1776</v>
      </c>
      <c r="E279" s="135" t="s">
        <v>1552</v>
      </c>
      <c r="F279" s="135">
        <v>10</v>
      </c>
      <c r="G279" s="135">
        <v>1</v>
      </c>
      <c r="H279" s="135" t="s">
        <v>1742</v>
      </c>
      <c r="I279" s="178"/>
      <c r="J279" s="178"/>
      <c r="K279" s="179">
        <v>1.3707E-2</v>
      </c>
      <c r="L279" s="179">
        <v>0</v>
      </c>
      <c r="M279" s="180">
        <f>K279/(1-'Sac Parametreleri'!$B$27)</f>
        <v>1.6715853658536586E-2</v>
      </c>
      <c r="N279" s="180">
        <f t="shared" si="20"/>
        <v>3.0088536585365852E-3</v>
      </c>
      <c r="O279" s="138">
        <f t="shared" si="21"/>
        <v>0.18</v>
      </c>
      <c r="P279" s="181">
        <f>IF(E279="Hardox 450",INDEX('Sac Parametreleri'!$G$11:$G$24,MATCH(F279,'Sac Parametreleri'!$A$11:$A$24,0)),INDEX('Sac Parametreleri'!$E$11:$E$24,MATCH(F279,'Sac Parametreleri'!$A$11:$A$24,0)))</f>
        <v>62.800000000000004</v>
      </c>
      <c r="Q279" s="181">
        <f>INDEX('Sac Parametreleri'!$F$11:$F$24,MATCH(F279,'Sac Parametreleri'!$A$11:$A$24,0))</f>
        <v>25.690909090909091</v>
      </c>
      <c r="R279" s="182">
        <f t="shared" si="22"/>
        <v>0.97245542394678497</v>
      </c>
      <c r="S279" s="182">
        <f t="shared" si="23"/>
        <v>0.97245542394678497</v>
      </c>
      <c r="T279" s="139">
        <f>K279*F279*'Sac Parametreleri'!$B$6*G279</f>
        <v>1.0759995</v>
      </c>
      <c r="U279" s="139">
        <f>N279*F279*'Sac Parametreleri'!$B$6*G279</f>
        <v>0.23619501219512193</v>
      </c>
      <c r="V279" s="139">
        <f>M279*F279*'Sac Parametreleri'!$B$6*G279</f>
        <v>1.312194512195122</v>
      </c>
      <c r="W279" s="135" t="s">
        <v>1520</v>
      </c>
    </row>
    <row r="280" spans="1:24" ht="15" customHeight="1" x14ac:dyDescent="0.25">
      <c r="A280" s="135" t="s">
        <v>578</v>
      </c>
      <c r="B280" s="135">
        <v>2</v>
      </c>
      <c r="C280" s="135" t="s">
        <v>1777</v>
      </c>
      <c r="D280" s="135" t="s">
        <v>1778</v>
      </c>
      <c r="E280" s="135" t="s">
        <v>1552</v>
      </c>
      <c r="F280" s="135">
        <v>6</v>
      </c>
      <c r="G280" s="135">
        <v>2</v>
      </c>
      <c r="H280" s="135" t="s">
        <v>1742</v>
      </c>
      <c r="I280" s="178"/>
      <c r="J280" s="178"/>
      <c r="K280" s="179">
        <v>4.9214000000000001E-2</v>
      </c>
      <c r="L280" s="179">
        <v>0</v>
      </c>
      <c r="M280" s="180">
        <f>K280/(1-'Sac Parametreleri'!$B$27)</f>
        <v>6.0017073170731704E-2</v>
      </c>
      <c r="N280" s="180">
        <f t="shared" si="20"/>
        <v>1.0803073170731703E-2</v>
      </c>
      <c r="O280" s="138">
        <f t="shared" si="21"/>
        <v>0.17999999999999994</v>
      </c>
      <c r="P280" s="181">
        <f>IF(E280="Hardox 450",INDEX('Sac Parametreleri'!$G$11:$G$24,MATCH(F280,'Sac Parametreleri'!$A$11:$A$24,0)),INDEX('Sac Parametreleri'!$E$11:$E$24,MATCH(F280,'Sac Parametreleri'!$A$11:$A$24,0)))</f>
        <v>37.68</v>
      </c>
      <c r="Q280" s="181">
        <f>INDEX('Sac Parametreleri'!$F$11:$F$24,MATCH(F280,'Sac Parametreleri'!$A$11:$A$24,0))</f>
        <v>15.414545454545452</v>
      </c>
      <c r="R280" s="182">
        <f t="shared" si="22"/>
        <v>2.0949188546341464</v>
      </c>
      <c r="S280" s="182">
        <f t="shared" si="23"/>
        <v>4.1898377092682928</v>
      </c>
      <c r="T280" s="139">
        <f>K280*F280*'Sac Parametreleri'!$B$6*G280</f>
        <v>4.6359588</v>
      </c>
      <c r="U280" s="139">
        <f>N280*F280*'Sac Parametreleri'!$B$6*G280</f>
        <v>1.0176494926829263</v>
      </c>
      <c r="V280" s="139">
        <f>M280*F280*'Sac Parametreleri'!$B$6*G280</f>
        <v>5.6536082926829261</v>
      </c>
      <c r="W280" s="135" t="s">
        <v>1520</v>
      </c>
    </row>
    <row r="281" spans="1:24" ht="15" customHeight="1" x14ac:dyDescent="0.25">
      <c r="A281" s="135" t="s">
        <v>578</v>
      </c>
      <c r="B281" s="135">
        <v>4</v>
      </c>
      <c r="C281" s="135" t="s">
        <v>1779</v>
      </c>
      <c r="D281" s="135" t="s">
        <v>1780</v>
      </c>
      <c r="E281" s="135" t="s">
        <v>1552</v>
      </c>
      <c r="F281" s="135">
        <v>10</v>
      </c>
      <c r="G281" s="135">
        <v>1</v>
      </c>
      <c r="H281" s="135" t="s">
        <v>1742</v>
      </c>
      <c r="I281" s="178"/>
      <c r="J281" s="178"/>
      <c r="K281" s="179">
        <v>3.4139999999999999E-3</v>
      </c>
      <c r="L281" s="179">
        <v>0</v>
      </c>
      <c r="M281" s="180">
        <f>K281/(1-'Sac Parametreleri'!$B$27)</f>
        <v>4.1634146341463412E-3</v>
      </c>
      <c r="N281" s="180">
        <f t="shared" si="20"/>
        <v>7.4941463414634124E-4</v>
      </c>
      <c r="O281" s="138">
        <f t="shared" si="21"/>
        <v>0.17999999999999997</v>
      </c>
      <c r="P281" s="181">
        <f>IF(E281="Hardox 450",INDEX('Sac Parametreleri'!$G$11:$G$24,MATCH(F281,'Sac Parametreleri'!$A$11:$A$24,0)),INDEX('Sac Parametreleri'!$E$11:$E$24,MATCH(F281,'Sac Parametreleri'!$A$11:$A$24,0)))</f>
        <v>62.800000000000004</v>
      </c>
      <c r="Q281" s="181">
        <f>INDEX('Sac Parametreleri'!$F$11:$F$24,MATCH(F281,'Sac Parametreleri'!$A$11:$A$24,0))</f>
        <v>25.690909090909091</v>
      </c>
      <c r="R281" s="182">
        <f t="shared" si="22"/>
        <v>0.24220929578713971</v>
      </c>
      <c r="S281" s="182">
        <f t="shared" si="23"/>
        <v>0.24220929578713971</v>
      </c>
      <c r="T281" s="139">
        <f>K281*F281*'Sac Parametreleri'!$B$6*G281</f>
        <v>0.26799899999999999</v>
      </c>
      <c r="U281" s="139">
        <f>N281*F281*'Sac Parametreleri'!$B$6*G281</f>
        <v>5.8829048780487787E-2</v>
      </c>
      <c r="V281" s="139">
        <f>M281*F281*'Sac Parametreleri'!$B$6*G281</f>
        <v>0.32682804878048777</v>
      </c>
      <c r="W281" s="135" t="s">
        <v>1520</v>
      </c>
    </row>
    <row r="282" spans="1:24" ht="15" customHeight="1" x14ac:dyDescent="0.25">
      <c r="A282" s="135" t="s">
        <v>578</v>
      </c>
      <c r="B282" s="135">
        <v>5</v>
      </c>
      <c r="C282" s="135" t="s">
        <v>1781</v>
      </c>
      <c r="D282" s="135" t="s">
        <v>1782</v>
      </c>
      <c r="E282" s="135" t="s">
        <v>1552</v>
      </c>
      <c r="F282" s="135">
        <v>6</v>
      </c>
      <c r="G282" s="135">
        <v>1</v>
      </c>
      <c r="H282" s="135" t="s">
        <v>1742</v>
      </c>
      <c r="I282" s="178"/>
      <c r="J282" s="178"/>
      <c r="K282" s="179">
        <v>2.7179999999999999E-3</v>
      </c>
      <c r="L282" s="179">
        <v>0</v>
      </c>
      <c r="M282" s="180">
        <f>K282/(1-'Sac Parametreleri'!$B$27)</f>
        <v>3.3146341463414631E-3</v>
      </c>
      <c r="N282" s="180">
        <f t="shared" si="20"/>
        <v>5.9663414634146322E-4</v>
      </c>
      <c r="O282" s="138">
        <f t="shared" si="21"/>
        <v>0.17999999999999997</v>
      </c>
      <c r="P282" s="181">
        <f>IF(E282="Hardox 450",INDEX('Sac Parametreleri'!$G$11:$G$24,MATCH(F282,'Sac Parametreleri'!$A$11:$A$24,0)),INDEX('Sac Parametreleri'!$E$11:$E$24,MATCH(F282,'Sac Parametreleri'!$A$11:$A$24,0)))</f>
        <v>37.68</v>
      </c>
      <c r="Q282" s="181">
        <f>INDEX('Sac Parametreleri'!$F$11:$F$24,MATCH(F282,'Sac Parametreleri'!$A$11:$A$24,0))</f>
        <v>15.414545454545452</v>
      </c>
      <c r="R282" s="182">
        <f t="shared" si="22"/>
        <v>0.11569857046563192</v>
      </c>
      <c r="S282" s="182">
        <f t="shared" si="23"/>
        <v>0.11569857046563192</v>
      </c>
      <c r="T282" s="139">
        <f>K282*F282*'Sac Parametreleri'!$B$6*G282</f>
        <v>0.12801779999999999</v>
      </c>
      <c r="U282" s="139">
        <f>N282*F282*'Sac Parametreleri'!$B$6*G282</f>
        <v>2.8101468292682917E-2</v>
      </c>
      <c r="V282" s="139">
        <f>M282*F282*'Sac Parametreleri'!$B$6*G282</f>
        <v>0.15611926829268291</v>
      </c>
      <c r="W282" s="135" t="s">
        <v>1520</v>
      </c>
    </row>
    <row r="283" spans="1:24" ht="15" customHeight="1" x14ac:dyDescent="0.25">
      <c r="A283" s="135" t="s">
        <v>578</v>
      </c>
      <c r="B283" s="135">
        <v>6</v>
      </c>
      <c r="C283" s="135" t="s">
        <v>1783</v>
      </c>
      <c r="D283" s="135" t="s">
        <v>1784</v>
      </c>
      <c r="E283" s="135" t="s">
        <v>1552</v>
      </c>
      <c r="F283" s="135">
        <v>6</v>
      </c>
      <c r="G283" s="135">
        <v>1</v>
      </c>
      <c r="H283" s="135" t="s">
        <v>1742</v>
      </c>
      <c r="I283" s="178"/>
      <c r="J283" s="178"/>
      <c r="K283" s="179">
        <v>4.8199999999999996E-3</v>
      </c>
      <c r="L283" s="179">
        <v>0</v>
      </c>
      <c r="M283" s="180">
        <f>K283/(1-'Sac Parametreleri'!$B$27)</f>
        <v>5.878048780487804E-3</v>
      </c>
      <c r="N283" s="180">
        <f t="shared" si="20"/>
        <v>1.0580487804878044E-3</v>
      </c>
      <c r="O283" s="138">
        <f t="shared" si="21"/>
        <v>0.17999999999999994</v>
      </c>
      <c r="P283" s="181">
        <f>IF(E283="Hardox 450",INDEX('Sac Parametreleri'!$G$11:$G$24,MATCH(F283,'Sac Parametreleri'!$A$11:$A$24,0)),INDEX('Sac Parametreleri'!$E$11:$E$24,MATCH(F283,'Sac Parametreleri'!$A$11:$A$24,0)))</f>
        <v>37.68</v>
      </c>
      <c r="Q283" s="181">
        <f>INDEX('Sac Parametreleri'!$F$11:$F$24,MATCH(F283,'Sac Parametreleri'!$A$11:$A$24,0))</f>
        <v>15.414545454545452</v>
      </c>
      <c r="R283" s="182">
        <f t="shared" si="22"/>
        <v>0.20517553702882479</v>
      </c>
      <c r="S283" s="182">
        <f t="shared" si="23"/>
        <v>0.20517553702882479</v>
      </c>
      <c r="T283" s="139">
        <f>K283*F283*'Sac Parametreleri'!$B$6*G283</f>
        <v>0.22702199999999997</v>
      </c>
      <c r="U283" s="139">
        <f>N283*F283*'Sac Parametreleri'!$B$6*G283</f>
        <v>4.9834097560975586E-2</v>
      </c>
      <c r="V283" s="139">
        <f>M283*F283*'Sac Parametreleri'!$B$6*G283</f>
        <v>0.27685609756097557</v>
      </c>
      <c r="W283" s="135" t="s">
        <v>1520</v>
      </c>
    </row>
    <row r="284" spans="1:24" ht="15" customHeight="1" x14ac:dyDescent="0.25">
      <c r="A284" s="135" t="s">
        <v>587</v>
      </c>
      <c r="B284" s="135">
        <v>1</v>
      </c>
      <c r="C284" s="135" t="s">
        <v>916</v>
      </c>
      <c r="D284" s="135" t="s">
        <v>917</v>
      </c>
      <c r="E284" s="135" t="s">
        <v>1552</v>
      </c>
      <c r="F284" s="135">
        <v>6</v>
      </c>
      <c r="G284" s="135">
        <v>1</v>
      </c>
      <c r="H284" s="135" t="s">
        <v>1765</v>
      </c>
      <c r="I284" s="178"/>
      <c r="J284" s="178"/>
      <c r="K284" s="179">
        <v>0.121741</v>
      </c>
      <c r="L284" s="179">
        <v>0</v>
      </c>
      <c r="M284" s="180">
        <f>K284/(1-'Sac Parametreleri'!$B$29)</f>
        <v>0.15429784537389099</v>
      </c>
      <c r="N284" s="180">
        <f t="shared" si="20"/>
        <v>3.2556845373890989E-2</v>
      </c>
      <c r="O284" s="138">
        <f t="shared" si="21"/>
        <v>0.21099999999999994</v>
      </c>
      <c r="P284" s="181">
        <f>IF(E284="Hardox 450",INDEX('Sac Parametreleri'!$G$11:$G$24,MATCH(F284,'Sac Parametreleri'!$A$11:$A$24,0)),INDEX('Sac Parametreleri'!$E$11:$E$24,MATCH(F284,'Sac Parametreleri'!$A$11:$A$24,0)))</f>
        <v>37.68</v>
      </c>
      <c r="Q284" s="181">
        <f>INDEX('Sac Parametreleri'!$F$11:$F$24,MATCH(F284,'Sac Parametreleri'!$A$11:$A$24,0))</f>
        <v>15.414545454545452</v>
      </c>
      <c r="R284" s="182">
        <f t="shared" si="22"/>
        <v>5.3120938408157627</v>
      </c>
      <c r="S284" s="182">
        <f t="shared" si="23"/>
        <v>5.3120938408157627</v>
      </c>
      <c r="T284" s="139">
        <f>K284*F284*'Sac Parametreleri'!$B$6*G284</f>
        <v>5.7340011000000004</v>
      </c>
      <c r="U284" s="139">
        <f>N284*F284*'Sac Parametreleri'!$B$6*G284</f>
        <v>1.5334274171102655</v>
      </c>
      <c r="V284" s="139">
        <f>M284*F284*'Sac Parametreleri'!$B$6*G284</f>
        <v>7.2674285171102646</v>
      </c>
      <c r="W284" s="135" t="s">
        <v>1520</v>
      </c>
    </row>
    <row r="285" spans="1:24" ht="15" customHeight="1" x14ac:dyDescent="0.25">
      <c r="A285" s="135" t="s">
        <v>587</v>
      </c>
      <c r="B285" s="135">
        <v>2</v>
      </c>
      <c r="C285" s="135" t="s">
        <v>1785</v>
      </c>
      <c r="D285" s="135" t="s">
        <v>1786</v>
      </c>
      <c r="E285" s="135" t="s">
        <v>1552</v>
      </c>
      <c r="F285" s="135">
        <v>6</v>
      </c>
      <c r="G285" s="135">
        <v>2</v>
      </c>
      <c r="H285" s="135" t="s">
        <v>1742</v>
      </c>
      <c r="I285" s="178"/>
      <c r="J285" s="178"/>
      <c r="K285" s="179">
        <v>8.5349999999999992E-3</v>
      </c>
      <c r="L285" s="179">
        <v>0</v>
      </c>
      <c r="M285" s="180">
        <f>K285/(1-'Sac Parametreleri'!$B$27)</f>
        <v>1.0408536585365852E-2</v>
      </c>
      <c r="N285" s="180">
        <f t="shared" si="20"/>
        <v>1.8735365853658533E-3</v>
      </c>
      <c r="O285" s="138">
        <f t="shared" si="21"/>
        <v>0.18</v>
      </c>
      <c r="P285" s="181">
        <f>IF(E285="Hardox 450",INDEX('Sac Parametreleri'!$G$11:$G$24,MATCH(F285,'Sac Parametreleri'!$A$11:$A$24,0)),INDEX('Sac Parametreleri'!$E$11:$E$24,MATCH(F285,'Sac Parametreleri'!$A$11:$A$24,0)))</f>
        <v>37.68</v>
      </c>
      <c r="Q285" s="181">
        <f>INDEX('Sac Parametreleri'!$F$11:$F$24,MATCH(F285,'Sac Parametreleri'!$A$11:$A$24,0))</f>
        <v>15.414545454545452</v>
      </c>
      <c r="R285" s="182">
        <f t="shared" si="22"/>
        <v>0.36331394368070952</v>
      </c>
      <c r="S285" s="182">
        <f t="shared" si="23"/>
        <v>0.72662788736141903</v>
      </c>
      <c r="T285" s="139">
        <f>K285*F285*'Sac Parametreleri'!$B$6*G285</f>
        <v>0.80399699999999985</v>
      </c>
      <c r="U285" s="139">
        <f>N285*F285*'Sac Parametreleri'!$B$6*G285</f>
        <v>0.17648714634146337</v>
      </c>
      <c r="V285" s="139">
        <f>M285*F285*'Sac Parametreleri'!$B$6*G285</f>
        <v>0.9804841463414633</v>
      </c>
      <c r="W285" s="135" t="s">
        <v>1520</v>
      </c>
    </row>
    <row r="286" spans="1:24" ht="15" customHeight="1" x14ac:dyDescent="0.25">
      <c r="A286" s="135" t="s">
        <v>565</v>
      </c>
      <c r="B286" s="135">
        <v>1</v>
      </c>
      <c r="C286" s="135" t="s">
        <v>1787</v>
      </c>
      <c r="D286" s="135" t="s">
        <v>1788</v>
      </c>
      <c r="E286" s="135" t="s">
        <v>1552</v>
      </c>
      <c r="F286" s="135">
        <v>8</v>
      </c>
      <c r="G286" s="135">
        <v>1</v>
      </c>
      <c r="H286" s="135" t="s">
        <v>1742</v>
      </c>
      <c r="I286" s="178"/>
      <c r="J286" s="178"/>
      <c r="K286" s="179">
        <v>9.6659999999999992E-3</v>
      </c>
      <c r="L286" s="179">
        <v>0</v>
      </c>
      <c r="M286" s="180">
        <f>K286/(1-'Sac Parametreleri'!$B$27)</f>
        <v>1.1787804878048778E-2</v>
      </c>
      <c r="N286" s="180">
        <f t="shared" si="20"/>
        <v>2.1218048780487792E-3</v>
      </c>
      <c r="O286" s="138">
        <f t="shared" si="21"/>
        <v>0.17999999999999991</v>
      </c>
      <c r="P286" s="181">
        <f>IF(E286="Hardox 450",INDEX('Sac Parametreleri'!$G$11:$G$24,MATCH(F286,'Sac Parametreleri'!$A$11:$A$24,0)),INDEX('Sac Parametreleri'!$E$11:$E$24,MATCH(F286,'Sac Parametreleri'!$A$11:$A$24,0)))</f>
        <v>50.24</v>
      </c>
      <c r="Q286" s="181">
        <f>INDEX('Sac Parametreleri'!$F$11:$F$24,MATCH(F286,'Sac Parametreleri'!$A$11:$A$24,0))</f>
        <v>20.552727272727271</v>
      </c>
      <c r="R286" s="182">
        <f t="shared" si="22"/>
        <v>0.54861044008869175</v>
      </c>
      <c r="S286" s="182">
        <f t="shared" si="23"/>
        <v>0.54861044008869175</v>
      </c>
      <c r="T286" s="139">
        <f>K286*F286*'Sac Parametreleri'!$B$6*G286</f>
        <v>0.60702479999999992</v>
      </c>
      <c r="U286" s="139">
        <f>N286*F286*'Sac Parametreleri'!$B$6*G286</f>
        <v>0.13324934634146332</v>
      </c>
      <c r="V286" s="139">
        <f>M286*F286*'Sac Parametreleri'!$B$6*G286</f>
        <v>0.74027414634146327</v>
      </c>
      <c r="W286" s="135" t="s">
        <v>1520</v>
      </c>
    </row>
    <row r="287" spans="1:24" ht="32.25" customHeight="1" x14ac:dyDescent="0.25">
      <c r="A287" s="125" t="s">
        <v>609</v>
      </c>
      <c r="B287" s="125">
        <v>1</v>
      </c>
      <c r="C287" s="125" t="s">
        <v>805</v>
      </c>
      <c r="D287" s="125" t="s">
        <v>705</v>
      </c>
      <c r="E287" s="125" t="s">
        <v>1552</v>
      </c>
      <c r="F287" s="125">
        <v>5</v>
      </c>
      <c r="G287" s="125">
        <v>1</v>
      </c>
      <c r="H287" s="125" t="s">
        <v>1789</v>
      </c>
      <c r="I287" s="164">
        <v>1165.9000000000001</v>
      </c>
      <c r="J287" s="164">
        <v>140</v>
      </c>
      <c r="K287" s="165">
        <v>0.16223099999999999</v>
      </c>
      <c r="L287" s="165">
        <v>9.9200000000000004E-4</v>
      </c>
      <c r="M287" s="166">
        <f>I287*J287/1000000</f>
        <v>0.16322600000000001</v>
      </c>
      <c r="N287" s="166">
        <f t="shared" si="20"/>
        <v>9.9500000000002364E-4</v>
      </c>
      <c r="O287" s="128">
        <f t="shared" si="21"/>
        <v>6.0958425740998586E-3</v>
      </c>
      <c r="P287" s="167">
        <f>IF(E287="Hardox 450",INDEX('Sac Parametreleri'!$G$11:$G$24,MATCH(F287,'Sac Parametreleri'!$A$11:$A$24,0)),INDEX('Sac Parametreleri'!$E$11:$E$24,MATCH(F287,'Sac Parametreleri'!$A$11:$A$24,0)))</f>
        <v>31.400000000000002</v>
      </c>
      <c r="Q287" s="167">
        <f>INDEX('Sac Parametreleri'!$F$11:$F$24,MATCH(F287,'Sac Parametreleri'!$A$11:$A$24,0))</f>
        <v>12.845454545454546</v>
      </c>
      <c r="R287" s="168">
        <f t="shared" si="22"/>
        <v>5.1125151727272735</v>
      </c>
      <c r="S287" s="168">
        <f t="shared" si="23"/>
        <v>5.1125151727272735</v>
      </c>
      <c r="T287" s="129">
        <f>K287*F287*'Sac Parametreleri'!$B$6*G287</f>
        <v>6.3675667499999991</v>
      </c>
      <c r="U287" s="129">
        <f>N287*F287*'Sac Parametreleri'!$B$6*G287</f>
        <v>3.9053750000000928E-2</v>
      </c>
      <c r="V287" s="129">
        <f>M287*F287*'Sac Parametreleri'!$B$6*G287</f>
        <v>6.4066204999999998</v>
      </c>
      <c r="W287" s="125" t="s">
        <v>1520</v>
      </c>
      <c r="X287" s="169" t="s">
        <v>1790</v>
      </c>
    </row>
    <row r="288" spans="1:24" ht="15" customHeight="1" x14ac:dyDescent="0.25">
      <c r="A288" s="135" t="s">
        <v>612</v>
      </c>
      <c r="B288" s="135">
        <v>1</v>
      </c>
      <c r="C288" s="135" t="s">
        <v>798</v>
      </c>
      <c r="D288" s="135" t="s">
        <v>774</v>
      </c>
      <c r="E288" s="135" t="s">
        <v>1552</v>
      </c>
      <c r="F288" s="135">
        <v>6</v>
      </c>
      <c r="G288" s="135">
        <v>1</v>
      </c>
      <c r="H288" s="135" t="s">
        <v>1746</v>
      </c>
      <c r="I288" s="178"/>
      <c r="J288" s="178"/>
      <c r="K288" s="179">
        <v>9.3162999999999996E-2</v>
      </c>
      <c r="L288" s="179">
        <v>0</v>
      </c>
      <c r="M288" s="180">
        <f>K288/(1-'Sac Parametreleri'!$B$29)</f>
        <v>0.11807731305449935</v>
      </c>
      <c r="N288" s="180">
        <f t="shared" si="20"/>
        <v>2.4914313054499357E-2</v>
      </c>
      <c r="O288" s="138">
        <f t="shared" si="21"/>
        <v>0.21099999999999994</v>
      </c>
      <c r="P288" s="181">
        <f>IF(E288="Hardox 450",INDEX('Sac Parametreleri'!$G$11:$G$24,MATCH(F288,'Sac Parametreleri'!$A$11:$A$24,0)),INDEX('Sac Parametreleri'!$E$11:$E$24,MATCH(F288,'Sac Parametreleri'!$A$11:$A$24,0)))</f>
        <v>37.68</v>
      </c>
      <c r="Q288" s="181">
        <f>INDEX('Sac Parametreleri'!$F$11:$F$24,MATCH(F288,'Sac Parametreleri'!$A$11:$A$24,0))</f>
        <v>15.414545454545452</v>
      </c>
      <c r="R288" s="182">
        <f t="shared" si="22"/>
        <v>4.0651103448461798</v>
      </c>
      <c r="S288" s="182">
        <f t="shared" si="23"/>
        <v>4.0651103448461798</v>
      </c>
      <c r="T288" s="139">
        <f>K288*F288*'Sac Parametreleri'!$B$6*G288</f>
        <v>4.3879772999999993</v>
      </c>
      <c r="U288" s="139">
        <f>N288*F288*'Sac Parametreleri'!$B$6*G288</f>
        <v>1.1734641448669196</v>
      </c>
      <c r="V288" s="139">
        <f>M288*F288*'Sac Parametreleri'!$B$6*G288</f>
        <v>5.5614414448669187</v>
      </c>
      <c r="W288" s="135" t="s">
        <v>1520</v>
      </c>
    </row>
    <row r="289" spans="1:23" ht="15" customHeight="1" x14ac:dyDescent="0.25">
      <c r="A289" s="135" t="s">
        <v>612</v>
      </c>
      <c r="B289" s="135">
        <v>2</v>
      </c>
      <c r="C289" s="135" t="s">
        <v>1791</v>
      </c>
      <c r="D289" s="135" t="s">
        <v>774</v>
      </c>
      <c r="E289" s="135" t="s">
        <v>1552</v>
      </c>
      <c r="F289" s="135">
        <v>6</v>
      </c>
      <c r="G289" s="135">
        <v>1</v>
      </c>
      <c r="H289" s="135" t="s">
        <v>1742</v>
      </c>
      <c r="I289" s="178"/>
      <c r="J289" s="178"/>
      <c r="K289" s="179">
        <v>2.0590000000000001E-3</v>
      </c>
      <c r="L289" s="179">
        <v>0</v>
      </c>
      <c r="M289" s="180">
        <f>K289/(1-'Sac Parametreleri'!$B$27)</f>
        <v>2.5109756097560975E-3</v>
      </c>
      <c r="N289" s="180">
        <f t="shared" si="20"/>
        <v>4.5197560975609747E-4</v>
      </c>
      <c r="O289" s="138">
        <f t="shared" si="21"/>
        <v>0.17999999999999997</v>
      </c>
      <c r="P289" s="181">
        <f>IF(E289="Hardox 450",INDEX('Sac Parametreleri'!$G$11:$G$24,MATCH(F289,'Sac Parametreleri'!$A$11:$A$24,0)),INDEX('Sac Parametreleri'!$E$11:$E$24,MATCH(F289,'Sac Parametreleri'!$A$11:$A$24,0)))</f>
        <v>37.68</v>
      </c>
      <c r="Q289" s="181">
        <f>INDEX('Sac Parametreleri'!$F$11:$F$24,MATCH(F289,'Sac Parametreleri'!$A$11:$A$24,0))</f>
        <v>15.414545454545452</v>
      </c>
      <c r="R289" s="182">
        <f t="shared" si="22"/>
        <v>8.7646562394678496E-2</v>
      </c>
      <c r="S289" s="182">
        <f t="shared" si="23"/>
        <v>8.7646562394678496E-2</v>
      </c>
      <c r="T289" s="139">
        <f>K289*F289*'Sac Parametreleri'!$B$6*G289</f>
        <v>9.6978899999999993E-2</v>
      </c>
      <c r="U289" s="139">
        <f>N289*F289*'Sac Parametreleri'!$B$6*G289</f>
        <v>2.1288051219512188E-2</v>
      </c>
      <c r="V289" s="139">
        <f>M289*F289*'Sac Parametreleri'!$B$6*G289</f>
        <v>0.1182669512195122</v>
      </c>
      <c r="W289" s="135" t="s">
        <v>1520</v>
      </c>
    </row>
    <row r="290" spans="1:23" ht="15" customHeight="1" x14ac:dyDescent="0.25">
      <c r="A290" s="135" t="s">
        <v>612</v>
      </c>
      <c r="B290" s="135">
        <v>3</v>
      </c>
      <c r="C290" s="135" t="s">
        <v>1792</v>
      </c>
      <c r="D290" s="135" t="s">
        <v>774</v>
      </c>
      <c r="E290" s="135" t="s">
        <v>1552</v>
      </c>
      <c r="F290" s="135">
        <v>5</v>
      </c>
      <c r="G290" s="135">
        <v>3</v>
      </c>
      <c r="H290" s="135" t="s">
        <v>1742</v>
      </c>
      <c r="I290" s="178"/>
      <c r="J290" s="178"/>
      <c r="K290" s="179">
        <v>1.9620000000000002E-3</v>
      </c>
      <c r="L290" s="179">
        <v>0</v>
      </c>
      <c r="M290" s="180">
        <f>K290/(1-'Sac Parametreleri'!$B$27)</f>
        <v>2.3926829268292684E-3</v>
      </c>
      <c r="N290" s="180">
        <f t="shared" si="20"/>
        <v>4.3068292682926822E-4</v>
      </c>
      <c r="O290" s="138">
        <f t="shared" si="21"/>
        <v>0.17999999999999997</v>
      </c>
      <c r="P290" s="181">
        <f>IF(E290="Hardox 450",INDEX('Sac Parametreleri'!$G$11:$G$24,MATCH(F290,'Sac Parametreleri'!$A$11:$A$24,0)),INDEX('Sac Parametreleri'!$E$11:$E$24,MATCH(F290,'Sac Parametreleri'!$A$11:$A$24,0)))</f>
        <v>31.400000000000002</v>
      </c>
      <c r="Q290" s="181">
        <f>INDEX('Sac Parametreleri'!$F$11:$F$24,MATCH(F290,'Sac Parametreleri'!$A$11:$A$24,0))</f>
        <v>12.845454545454546</v>
      </c>
      <c r="R290" s="182">
        <f t="shared" si="22"/>
        <v>6.9597925942350342E-2</v>
      </c>
      <c r="S290" s="182">
        <f t="shared" si="23"/>
        <v>0.20879377782705102</v>
      </c>
      <c r="T290" s="139">
        <f>K290*F290*'Sac Parametreleri'!$B$6*G290</f>
        <v>0.23102550000000002</v>
      </c>
      <c r="U290" s="139">
        <f>N290*F290*'Sac Parametreleri'!$B$6*G290</f>
        <v>5.071291463414633E-2</v>
      </c>
      <c r="V290" s="139">
        <f>M290*F290*'Sac Parametreleri'!$B$6*G290</f>
        <v>0.28173841463414634</v>
      </c>
      <c r="W290" s="135" t="s">
        <v>1520</v>
      </c>
    </row>
    <row r="291" spans="1:23" ht="15" customHeight="1" x14ac:dyDescent="0.25">
      <c r="A291" s="135" t="s">
        <v>612</v>
      </c>
      <c r="B291" s="135">
        <v>4</v>
      </c>
      <c r="C291" s="135" t="s">
        <v>1793</v>
      </c>
      <c r="D291" s="135" t="s">
        <v>774</v>
      </c>
      <c r="E291" s="135" t="s">
        <v>1552</v>
      </c>
      <c r="F291" s="135">
        <v>5</v>
      </c>
      <c r="G291" s="135">
        <v>1</v>
      </c>
      <c r="H291" s="135" t="s">
        <v>1742</v>
      </c>
      <c r="I291" s="178"/>
      <c r="J291" s="178"/>
      <c r="K291" s="179">
        <v>1.325E-3</v>
      </c>
      <c r="L291" s="179">
        <v>0</v>
      </c>
      <c r="M291" s="180">
        <f>K291/(1-'Sac Parametreleri'!$B$27)</f>
        <v>1.6158536585365853E-3</v>
      </c>
      <c r="N291" s="180">
        <f t="shared" si="20"/>
        <v>2.9085365853658528E-4</v>
      </c>
      <c r="O291" s="138">
        <f t="shared" si="21"/>
        <v>0.17999999999999997</v>
      </c>
      <c r="P291" s="181">
        <f>IF(E291="Hardox 450",INDEX('Sac Parametreleri'!$G$11:$G$24,MATCH(F291,'Sac Parametreleri'!$A$11:$A$24,0)),INDEX('Sac Parametreleri'!$E$11:$E$24,MATCH(F291,'Sac Parametreleri'!$A$11:$A$24,0)))</f>
        <v>31.400000000000002</v>
      </c>
      <c r="Q291" s="181">
        <f>INDEX('Sac Parametreleri'!$F$11:$F$24,MATCH(F291,'Sac Parametreleri'!$A$11:$A$24,0))</f>
        <v>12.845454545454546</v>
      </c>
      <c r="R291" s="182">
        <f t="shared" si="22"/>
        <v>4.7001657427937923E-2</v>
      </c>
      <c r="S291" s="182">
        <f t="shared" si="23"/>
        <v>4.7001657427937923E-2</v>
      </c>
      <c r="T291" s="139">
        <f>K291*F291*'Sac Parametreleri'!$B$6*G291</f>
        <v>5.2006249999999997E-2</v>
      </c>
      <c r="U291" s="139">
        <f>N291*F291*'Sac Parametreleri'!$B$6*G291</f>
        <v>1.1416006097560971E-2</v>
      </c>
      <c r="V291" s="139">
        <f>M291*F291*'Sac Parametreleri'!$B$6*G291</f>
        <v>6.3422256097560969E-2</v>
      </c>
      <c r="W291" s="135" t="s">
        <v>1520</v>
      </c>
    </row>
    <row r="292" spans="1:23" ht="15" customHeight="1" x14ac:dyDescent="0.25">
      <c r="A292" s="135" t="s">
        <v>583</v>
      </c>
      <c r="B292" s="135">
        <v>1</v>
      </c>
      <c r="C292" s="135" t="s">
        <v>1794</v>
      </c>
      <c r="D292" s="135" t="s">
        <v>1795</v>
      </c>
      <c r="E292" s="135" t="s">
        <v>1552</v>
      </c>
      <c r="F292" s="135">
        <v>12</v>
      </c>
      <c r="G292" s="135">
        <v>1</v>
      </c>
      <c r="H292" s="135" t="s">
        <v>1742</v>
      </c>
      <c r="I292" s="178"/>
      <c r="J292" s="178"/>
      <c r="K292" s="179">
        <v>2.1305999999999999E-2</v>
      </c>
      <c r="L292" s="179">
        <v>0</v>
      </c>
      <c r="M292" s="180">
        <f>K292/(1-'Sac Parametreleri'!$B$27)</f>
        <v>2.5982926829268289E-2</v>
      </c>
      <c r="N292" s="180">
        <f t="shared" si="20"/>
        <v>4.6769268292682908E-3</v>
      </c>
      <c r="O292" s="138">
        <f t="shared" si="21"/>
        <v>0.17999999999999997</v>
      </c>
      <c r="P292" s="181">
        <f>IF(E292="Hardox 450",INDEX('Sac Parametreleri'!$G$11:$G$24,MATCH(F292,'Sac Parametreleri'!$A$11:$A$24,0)),INDEX('Sac Parametreleri'!$E$11:$E$24,MATCH(F292,'Sac Parametreleri'!$A$11:$A$24,0)))</f>
        <v>75.36</v>
      </c>
      <c r="Q292" s="181">
        <f>INDEX('Sac Parametreleri'!$F$11:$F$24,MATCH(F292,'Sac Parametreleri'!$A$11:$A$24,0))</f>
        <v>30.829090909090905</v>
      </c>
      <c r="R292" s="182">
        <f t="shared" si="22"/>
        <v>1.8138879634589797</v>
      </c>
      <c r="S292" s="182">
        <f t="shared" si="23"/>
        <v>1.8138879634589797</v>
      </c>
      <c r="T292" s="139">
        <f>K292*F292*'Sac Parametreleri'!$B$6*G292</f>
        <v>2.0070252000000002</v>
      </c>
      <c r="U292" s="139">
        <f>N292*F292*'Sac Parametreleri'!$B$6*G292</f>
        <v>0.44056650731707298</v>
      </c>
      <c r="V292" s="139">
        <f>M292*F292*'Sac Parametreleri'!$B$6*G292</f>
        <v>2.447591707317073</v>
      </c>
      <c r="W292" s="135" t="s">
        <v>1520</v>
      </c>
    </row>
    <row r="293" spans="1:23" ht="15" customHeight="1" x14ac:dyDescent="0.25">
      <c r="A293" s="135" t="s">
        <v>583</v>
      </c>
      <c r="B293" s="135">
        <v>2</v>
      </c>
      <c r="C293" s="135" t="s">
        <v>1796</v>
      </c>
      <c r="D293" s="135" t="s">
        <v>1797</v>
      </c>
      <c r="E293" s="135" t="s">
        <v>1552</v>
      </c>
      <c r="F293" s="135">
        <v>12</v>
      </c>
      <c r="G293" s="135">
        <v>1</v>
      </c>
      <c r="H293" s="135" t="s">
        <v>1742</v>
      </c>
      <c r="I293" s="178"/>
      <c r="J293" s="178"/>
      <c r="K293" s="179">
        <v>2.7962000000000001E-2</v>
      </c>
      <c r="L293" s="179">
        <v>0</v>
      </c>
      <c r="M293" s="180">
        <f>K293/(1-'Sac Parametreleri'!$B$27)</f>
        <v>3.4099999999999998E-2</v>
      </c>
      <c r="N293" s="180">
        <f t="shared" si="20"/>
        <v>6.1379999999999976E-3</v>
      </c>
      <c r="O293" s="138">
        <f t="shared" si="21"/>
        <v>0.17999999999999994</v>
      </c>
      <c r="P293" s="181">
        <f>IF(E293="Hardox 450",INDEX('Sac Parametreleri'!$G$11:$G$24,MATCH(F293,'Sac Parametreleri'!$A$11:$A$24,0)),INDEX('Sac Parametreleri'!$E$11:$E$24,MATCH(F293,'Sac Parametreleri'!$A$11:$A$24,0)))</f>
        <v>75.36</v>
      </c>
      <c r="Q293" s="181">
        <f>INDEX('Sac Parametreleri'!$F$11:$F$24,MATCH(F293,'Sac Parametreleri'!$A$11:$A$24,0))</f>
        <v>30.829090909090905</v>
      </c>
      <c r="R293" s="182">
        <f t="shared" si="22"/>
        <v>2.3805470400000002</v>
      </c>
      <c r="S293" s="182">
        <f t="shared" si="23"/>
        <v>2.3805470400000002</v>
      </c>
      <c r="T293" s="139">
        <f>K293*F293*'Sac Parametreleri'!$B$6*G293</f>
        <v>2.6340203999999998</v>
      </c>
      <c r="U293" s="139">
        <f>N293*F293*'Sac Parametreleri'!$B$6*G293</f>
        <v>0.5781995999999997</v>
      </c>
      <c r="V293" s="139">
        <f>M293*F293*'Sac Parametreleri'!$B$6*G293</f>
        <v>3.2122199999999999</v>
      </c>
      <c r="W293" s="135" t="s">
        <v>1520</v>
      </c>
    </row>
    <row r="294" spans="1:23" ht="15" customHeight="1" x14ac:dyDescent="0.25">
      <c r="A294" s="135" t="s">
        <v>583</v>
      </c>
      <c r="B294" s="135">
        <v>3</v>
      </c>
      <c r="C294" s="135" t="s">
        <v>1798</v>
      </c>
      <c r="D294" s="135" t="s">
        <v>1799</v>
      </c>
      <c r="E294" s="135" t="s">
        <v>1552</v>
      </c>
      <c r="F294" s="135">
        <v>8</v>
      </c>
      <c r="G294" s="135">
        <v>2</v>
      </c>
      <c r="H294" s="135" t="s">
        <v>1742</v>
      </c>
      <c r="I294" s="178"/>
      <c r="J294" s="178"/>
      <c r="K294" s="179">
        <v>7.9299999999999995E-3</v>
      </c>
      <c r="L294" s="179">
        <v>0</v>
      </c>
      <c r="M294" s="180">
        <f>K294/(1-'Sac Parametreleri'!$B$27)</f>
        <v>9.6707317073170714E-3</v>
      </c>
      <c r="N294" s="180">
        <f t="shared" si="20"/>
        <v>1.7407317073170718E-3</v>
      </c>
      <c r="O294" s="138">
        <f t="shared" si="21"/>
        <v>0.17999999999999988</v>
      </c>
      <c r="P294" s="181">
        <f>IF(E294="Hardox 450",INDEX('Sac Parametreleri'!$G$11:$G$24,MATCH(F294,'Sac Parametreleri'!$A$11:$A$24,0)),INDEX('Sac Parametreleri'!$E$11:$E$24,MATCH(F294,'Sac Parametreleri'!$A$11:$A$24,0)))</f>
        <v>50.24</v>
      </c>
      <c r="Q294" s="181">
        <f>INDEX('Sac Parametreleri'!$F$11:$F$24,MATCH(F294,'Sac Parametreleri'!$A$11:$A$24,0))</f>
        <v>20.552727272727271</v>
      </c>
      <c r="R294" s="182">
        <f t="shared" si="22"/>
        <v>0.45008077694013299</v>
      </c>
      <c r="S294" s="182">
        <f t="shared" si="23"/>
        <v>0.90016155388026597</v>
      </c>
      <c r="T294" s="139">
        <f>K294*F294*'Sac Parametreleri'!$B$6*G294</f>
        <v>0.99600799999999989</v>
      </c>
      <c r="U294" s="139">
        <f>N294*F294*'Sac Parametreleri'!$B$6*G294</f>
        <v>0.2186359024390242</v>
      </c>
      <c r="V294" s="139">
        <f>M294*F294*'Sac Parametreleri'!$B$6*G294</f>
        <v>1.2146439024390241</v>
      </c>
      <c r="W294" s="135" t="s">
        <v>1520</v>
      </c>
    </row>
    <row r="295" spans="1:23" ht="15" customHeight="1" x14ac:dyDescent="0.25">
      <c r="A295" s="135" t="s">
        <v>583</v>
      </c>
      <c r="B295" s="135">
        <v>4</v>
      </c>
      <c r="C295" s="135" t="s">
        <v>1800</v>
      </c>
      <c r="D295" s="135" t="s">
        <v>1801</v>
      </c>
      <c r="E295" s="135" t="s">
        <v>1552</v>
      </c>
      <c r="F295" s="135">
        <v>20</v>
      </c>
      <c r="G295" s="135">
        <v>1</v>
      </c>
      <c r="H295" s="135" t="s">
        <v>1742</v>
      </c>
      <c r="I295" s="178"/>
      <c r="J295" s="178"/>
      <c r="K295" s="179">
        <v>2.8410000000000002E-3</v>
      </c>
      <c r="L295" s="179">
        <v>0</v>
      </c>
      <c r="M295" s="180">
        <f>K295/(1-'Sac Parametreleri'!$B$27)</f>
        <v>3.4646341463414635E-3</v>
      </c>
      <c r="N295" s="180">
        <f t="shared" si="20"/>
        <v>6.2363414634146333E-4</v>
      </c>
      <c r="O295" s="138">
        <f t="shared" si="21"/>
        <v>0.17999999999999997</v>
      </c>
      <c r="P295" s="181">
        <f>IF(E295="Hardox 450",INDEX('Sac Parametreleri'!$G$11:$G$24,MATCH(F295,'Sac Parametreleri'!$A$11:$A$24,0)),INDEX('Sac Parametreleri'!$E$11:$E$24,MATCH(F295,'Sac Parametreleri'!$A$11:$A$24,0)))</f>
        <v>125.60000000000001</v>
      </c>
      <c r="Q295" s="181">
        <f>INDEX('Sac Parametreleri'!$F$11:$F$24,MATCH(F295,'Sac Parametreleri'!$A$11:$A$24,0))</f>
        <v>51.381818181818183</v>
      </c>
      <c r="R295" s="182">
        <f t="shared" si="22"/>
        <v>0.40311459246119741</v>
      </c>
      <c r="S295" s="182">
        <f t="shared" si="23"/>
        <v>0.40311459246119741</v>
      </c>
      <c r="T295" s="139">
        <f>K295*F295*'Sac Parametreleri'!$B$6*G295</f>
        <v>0.44603700000000002</v>
      </c>
      <c r="U295" s="139">
        <f>N295*F295*'Sac Parametreleri'!$B$6*G295</f>
        <v>9.7910560975609739E-2</v>
      </c>
      <c r="V295" s="139">
        <f>M295*F295*'Sac Parametreleri'!$B$6*G295</f>
        <v>0.54394756097560981</v>
      </c>
      <c r="W295" s="135" t="s">
        <v>1520</v>
      </c>
    </row>
    <row r="296" spans="1:23" ht="15" customHeight="1" x14ac:dyDescent="0.25">
      <c r="A296" s="135" t="s">
        <v>556</v>
      </c>
      <c r="B296" s="135">
        <v>1</v>
      </c>
      <c r="C296" s="135" t="s">
        <v>1802</v>
      </c>
      <c r="D296" s="135" t="s">
        <v>749</v>
      </c>
      <c r="E296" s="135" t="s">
        <v>1552</v>
      </c>
      <c r="F296" s="135">
        <v>8</v>
      </c>
      <c r="G296" s="135">
        <v>1</v>
      </c>
      <c r="H296" s="135" t="s">
        <v>1742</v>
      </c>
      <c r="I296" s="178"/>
      <c r="J296" s="178"/>
      <c r="K296" s="179">
        <v>3.6879000000000002E-2</v>
      </c>
      <c r="L296" s="179">
        <v>0</v>
      </c>
      <c r="M296" s="180">
        <f>K296/(1-'Sac Parametreleri'!$B$27)</f>
        <v>4.4974390243902436E-2</v>
      </c>
      <c r="N296" s="180">
        <f t="shared" si="20"/>
        <v>8.0953902439024339E-3</v>
      </c>
      <c r="O296" s="138">
        <f t="shared" si="21"/>
        <v>0.17999999999999991</v>
      </c>
      <c r="P296" s="181">
        <f>IF(E296="Hardox 450",INDEX('Sac Parametreleri'!$G$11:$G$24,MATCH(F296,'Sac Parametreleri'!$A$11:$A$24,0)),INDEX('Sac Parametreleri'!$E$11:$E$24,MATCH(F296,'Sac Parametreleri'!$A$11:$A$24,0)))</f>
        <v>50.24</v>
      </c>
      <c r="Q296" s="181">
        <f>INDEX('Sac Parametreleri'!$F$11:$F$24,MATCH(F296,'Sac Parametreleri'!$A$11:$A$24,0))</f>
        <v>20.552727272727271</v>
      </c>
      <c r="R296" s="182">
        <f t="shared" si="22"/>
        <v>2.0931310180044349</v>
      </c>
      <c r="S296" s="182">
        <f t="shared" si="23"/>
        <v>2.0931310180044349</v>
      </c>
      <c r="T296" s="139">
        <f>K296*F296*'Sac Parametreleri'!$B$6*G296</f>
        <v>2.3160012000000001</v>
      </c>
      <c r="U296" s="139">
        <f>N296*F296*'Sac Parametreleri'!$B$6*G296</f>
        <v>0.5083905073170728</v>
      </c>
      <c r="V296" s="139">
        <f>M296*F296*'Sac Parametreleri'!$B$6*G296</f>
        <v>2.8243917073170728</v>
      </c>
      <c r="W296" s="135" t="s">
        <v>1520</v>
      </c>
    </row>
    <row r="297" spans="1:23" ht="15" customHeight="1" x14ac:dyDescent="0.25">
      <c r="A297" s="135" t="s">
        <v>556</v>
      </c>
      <c r="B297" s="135">
        <v>3</v>
      </c>
      <c r="C297" s="135" t="s">
        <v>1803</v>
      </c>
      <c r="D297" s="135" t="s">
        <v>749</v>
      </c>
      <c r="E297" s="135" t="s">
        <v>1552</v>
      </c>
      <c r="F297" s="135">
        <v>8</v>
      </c>
      <c r="G297" s="135">
        <v>1</v>
      </c>
      <c r="H297" s="135" t="s">
        <v>1742</v>
      </c>
      <c r="I297" s="178"/>
      <c r="J297" s="178"/>
      <c r="K297" s="179">
        <v>4.7070000000000001E-2</v>
      </c>
      <c r="L297" s="179">
        <v>0</v>
      </c>
      <c r="M297" s="180">
        <f>K297/(1-'Sac Parametreleri'!$B$27)</f>
        <v>5.7402439024390239E-2</v>
      </c>
      <c r="N297" s="180">
        <f t="shared" si="20"/>
        <v>1.0332439024390239E-2</v>
      </c>
      <c r="O297" s="138">
        <f t="shared" si="21"/>
        <v>0.17999999999999991</v>
      </c>
      <c r="P297" s="181">
        <f>IF(E297="Hardox 450",INDEX('Sac Parametreleri'!$G$11:$G$24,MATCH(F297,'Sac Parametreleri'!$A$11:$A$24,0)),INDEX('Sac Parametreleri'!$E$11:$E$24,MATCH(F297,'Sac Parametreleri'!$A$11:$A$24,0)))</f>
        <v>50.24</v>
      </c>
      <c r="Q297" s="181">
        <f>INDEX('Sac Parametreleri'!$F$11:$F$24,MATCH(F297,'Sac Parametreleri'!$A$11:$A$24,0))</f>
        <v>20.552727272727271</v>
      </c>
      <c r="R297" s="182">
        <f t="shared" si="22"/>
        <v>2.6715387352549889</v>
      </c>
      <c r="S297" s="182">
        <f t="shared" si="23"/>
        <v>2.6715387352549889</v>
      </c>
      <c r="T297" s="139">
        <f>K297*F297*'Sac Parametreleri'!$B$6*G297</f>
        <v>2.9559959999999998</v>
      </c>
      <c r="U297" s="139">
        <f>N297*F297*'Sac Parametreleri'!$B$6*G297</f>
        <v>0.64887717073170692</v>
      </c>
      <c r="V297" s="139">
        <f>M297*F297*'Sac Parametreleri'!$B$6*G297</f>
        <v>3.604873170731707</v>
      </c>
      <c r="W297" s="135" t="s">
        <v>1520</v>
      </c>
    </row>
    <row r="298" spans="1:23" ht="15" customHeight="1" x14ac:dyDescent="0.25">
      <c r="A298" s="135" t="s">
        <v>457</v>
      </c>
      <c r="B298" s="135">
        <v>2</v>
      </c>
      <c r="C298" s="135" t="s">
        <v>1804</v>
      </c>
      <c r="D298" s="135" t="s">
        <v>1805</v>
      </c>
      <c r="E298" s="135" t="s">
        <v>1552</v>
      </c>
      <c r="F298" s="135">
        <v>6</v>
      </c>
      <c r="G298" s="135">
        <v>2</v>
      </c>
      <c r="H298" s="135" t="s">
        <v>1742</v>
      </c>
      <c r="I298" s="178"/>
      <c r="J298" s="178"/>
      <c r="K298" s="179">
        <v>1.2272E-2</v>
      </c>
      <c r="L298" s="179">
        <v>0</v>
      </c>
      <c r="M298" s="180">
        <f>K298/(1-'Sac Parametreleri'!$B$27)</f>
        <v>1.4965853658536584E-2</v>
      </c>
      <c r="N298" s="180">
        <f t="shared" si="20"/>
        <v>2.6938536585365842E-3</v>
      </c>
      <c r="O298" s="138">
        <f t="shared" si="21"/>
        <v>0.17999999999999994</v>
      </c>
      <c r="P298" s="181">
        <f>IF(E298="Hardox 450",INDEX('Sac Parametreleri'!$G$11:$G$24,MATCH(F298,'Sac Parametreleri'!$A$11:$A$24,0)),INDEX('Sac Parametreleri'!$E$11:$E$24,MATCH(F298,'Sac Parametreleri'!$A$11:$A$24,0)))</f>
        <v>37.68</v>
      </c>
      <c r="Q298" s="181">
        <f>INDEX('Sac Parametreleri'!$F$11:$F$24,MATCH(F298,'Sac Parametreleri'!$A$11:$A$24,0))</f>
        <v>15.414545454545452</v>
      </c>
      <c r="R298" s="182">
        <f t="shared" si="22"/>
        <v>0.52238883618625276</v>
      </c>
      <c r="S298" s="182">
        <f t="shared" si="23"/>
        <v>1.0447776723725055</v>
      </c>
      <c r="T298" s="139">
        <f>K298*F298*'Sac Parametreleri'!$B$6*G298</f>
        <v>1.1560223999999999</v>
      </c>
      <c r="U298" s="139">
        <f>N298*F298*'Sac Parametreleri'!$B$6*G298</f>
        <v>0.25376101463414624</v>
      </c>
      <c r="V298" s="139">
        <f>M298*F298*'Sac Parametreleri'!$B$6*G298</f>
        <v>1.4097834146341461</v>
      </c>
      <c r="W298" s="135" t="s">
        <v>1520</v>
      </c>
    </row>
    <row r="299" spans="1:23" ht="15" customHeight="1" x14ac:dyDescent="0.25">
      <c r="A299" s="135" t="s">
        <v>457</v>
      </c>
      <c r="B299" s="135">
        <v>3</v>
      </c>
      <c r="C299" s="135" t="s">
        <v>1806</v>
      </c>
      <c r="D299" s="135" t="s">
        <v>1805</v>
      </c>
      <c r="E299" s="135" t="s">
        <v>1552</v>
      </c>
      <c r="F299" s="135">
        <v>6</v>
      </c>
      <c r="G299" s="135">
        <v>3</v>
      </c>
      <c r="H299" s="135" t="s">
        <v>1742</v>
      </c>
      <c r="I299" s="178"/>
      <c r="J299" s="178"/>
      <c r="K299" s="179">
        <v>4.5009999999999998E-3</v>
      </c>
      <c r="L299" s="179">
        <v>0</v>
      </c>
      <c r="M299" s="180">
        <f>K299/(1-'Sac Parametreleri'!$B$27)</f>
        <v>5.4890243902439018E-3</v>
      </c>
      <c r="N299" s="180">
        <f t="shared" si="20"/>
        <v>9.8802439024390197E-4</v>
      </c>
      <c r="O299" s="138">
        <f t="shared" si="21"/>
        <v>0.17999999999999994</v>
      </c>
      <c r="P299" s="181">
        <f>IF(E299="Hardox 450",INDEX('Sac Parametreleri'!$G$11:$G$24,MATCH(F299,'Sac Parametreleri'!$A$11:$A$24,0)),INDEX('Sac Parametreleri'!$E$11:$E$24,MATCH(F299,'Sac Parametreleri'!$A$11:$A$24,0)))</f>
        <v>37.68</v>
      </c>
      <c r="Q299" s="181">
        <f>INDEX('Sac Parametreleri'!$F$11:$F$24,MATCH(F299,'Sac Parametreleri'!$A$11:$A$24,0))</f>
        <v>15.414545454545452</v>
      </c>
      <c r="R299" s="182">
        <f t="shared" si="22"/>
        <v>0.19159649215077604</v>
      </c>
      <c r="S299" s="182">
        <f t="shared" si="23"/>
        <v>0.57478947645232814</v>
      </c>
      <c r="T299" s="139">
        <f>K299*F299*'Sac Parametreleri'!$B$6*G299</f>
        <v>0.63599129999999993</v>
      </c>
      <c r="U299" s="139">
        <f>N299*F299*'Sac Parametreleri'!$B$6*G299</f>
        <v>0.13960784634146334</v>
      </c>
      <c r="V299" s="139">
        <f>M299*F299*'Sac Parametreleri'!$B$6*G299</f>
        <v>0.77559914634146332</v>
      </c>
      <c r="W299" s="135" t="s">
        <v>1520</v>
      </c>
    </row>
    <row r="300" spans="1:23" ht="15" customHeight="1" x14ac:dyDescent="0.25">
      <c r="A300" s="135" t="s">
        <v>457</v>
      </c>
      <c r="B300" s="135">
        <v>4</v>
      </c>
      <c r="C300" s="135" t="s">
        <v>1807</v>
      </c>
      <c r="D300" s="135" t="s">
        <v>738</v>
      </c>
      <c r="E300" s="135" t="s">
        <v>1552</v>
      </c>
      <c r="F300" s="135">
        <v>6</v>
      </c>
      <c r="G300" s="135">
        <v>1</v>
      </c>
      <c r="H300" s="135" t="s">
        <v>1742</v>
      </c>
      <c r="I300" s="178"/>
      <c r="J300" s="178"/>
      <c r="K300" s="179">
        <v>1.4182999999999999E-2</v>
      </c>
      <c r="L300" s="179">
        <v>0</v>
      </c>
      <c r="M300" s="180">
        <f>K300/(1-'Sac Parametreleri'!$B$27)</f>
        <v>1.7296341463414633E-2</v>
      </c>
      <c r="N300" s="180">
        <f t="shared" si="20"/>
        <v>3.1133414634146334E-3</v>
      </c>
      <c r="O300" s="138">
        <f t="shared" si="21"/>
        <v>0.17999999999999997</v>
      </c>
      <c r="P300" s="181">
        <f>IF(E300="Hardox 450",INDEX('Sac Parametreleri'!$G$11:$G$24,MATCH(F300,'Sac Parametreleri'!$A$11:$A$24,0)),INDEX('Sac Parametreleri'!$E$11:$E$24,MATCH(F300,'Sac Parametreleri'!$A$11:$A$24,0)))</f>
        <v>37.68</v>
      </c>
      <c r="Q300" s="181">
        <f>INDEX('Sac Parametreleri'!$F$11:$F$24,MATCH(F300,'Sac Parametreleri'!$A$11:$A$24,0))</f>
        <v>15.414545454545452</v>
      </c>
      <c r="R300" s="182">
        <f t="shared" si="22"/>
        <v>0.60373540283813742</v>
      </c>
      <c r="S300" s="182">
        <f t="shared" si="23"/>
        <v>0.60373540283813742</v>
      </c>
      <c r="T300" s="139">
        <f>K300*F300*'Sac Parametreleri'!$B$6*G300</f>
        <v>0.66801929999999987</v>
      </c>
      <c r="U300" s="139">
        <f>N300*F300*'Sac Parametreleri'!$B$6*G300</f>
        <v>0.14663838292682924</v>
      </c>
      <c r="V300" s="139">
        <f>M300*F300*'Sac Parametreleri'!$B$6*G300</f>
        <v>0.81465768292682916</v>
      </c>
      <c r="W300" s="135" t="s">
        <v>1520</v>
      </c>
    </row>
    <row r="301" spans="1:23" ht="15" customHeight="1" x14ac:dyDescent="0.25">
      <c r="A301" s="135" t="s">
        <v>613</v>
      </c>
      <c r="B301" s="135">
        <v>2</v>
      </c>
      <c r="C301" s="135" t="s">
        <v>1804</v>
      </c>
      <c r="D301" s="135" t="s">
        <v>1805</v>
      </c>
      <c r="E301" s="135" t="s">
        <v>1552</v>
      </c>
      <c r="F301" s="135">
        <v>6</v>
      </c>
      <c r="G301" s="135">
        <v>2</v>
      </c>
      <c r="H301" s="135" t="s">
        <v>1742</v>
      </c>
      <c r="I301" s="178"/>
      <c r="J301" s="178"/>
      <c r="K301" s="179">
        <v>1.2272E-2</v>
      </c>
      <c r="L301" s="179">
        <v>0</v>
      </c>
      <c r="M301" s="180">
        <f>K301/(1-'Sac Parametreleri'!$B$27)</f>
        <v>1.4965853658536584E-2</v>
      </c>
      <c r="N301" s="180">
        <f t="shared" si="20"/>
        <v>2.6938536585365842E-3</v>
      </c>
      <c r="O301" s="138">
        <f t="shared" si="21"/>
        <v>0.17999999999999994</v>
      </c>
      <c r="P301" s="181">
        <f>IF(E301="Hardox 450",INDEX('Sac Parametreleri'!$G$11:$G$24,MATCH(F301,'Sac Parametreleri'!$A$11:$A$24,0)),INDEX('Sac Parametreleri'!$E$11:$E$24,MATCH(F301,'Sac Parametreleri'!$A$11:$A$24,0)))</f>
        <v>37.68</v>
      </c>
      <c r="Q301" s="181">
        <f>INDEX('Sac Parametreleri'!$F$11:$F$24,MATCH(F301,'Sac Parametreleri'!$A$11:$A$24,0))</f>
        <v>15.414545454545452</v>
      </c>
      <c r="R301" s="182">
        <f t="shared" si="22"/>
        <v>0.52238883618625276</v>
      </c>
      <c r="S301" s="182">
        <f t="shared" si="23"/>
        <v>1.0447776723725055</v>
      </c>
      <c r="T301" s="139">
        <f>K301*F301*'Sac Parametreleri'!$B$6*G301</f>
        <v>1.1560223999999999</v>
      </c>
      <c r="U301" s="139">
        <f>N301*F301*'Sac Parametreleri'!$B$6*G301</f>
        <v>0.25376101463414624</v>
      </c>
      <c r="V301" s="139">
        <f>M301*F301*'Sac Parametreleri'!$B$6*G301</f>
        <v>1.4097834146341461</v>
      </c>
      <c r="W301" s="135" t="s">
        <v>1520</v>
      </c>
    </row>
    <row r="302" spans="1:23" ht="15" customHeight="1" x14ac:dyDescent="0.25">
      <c r="A302" s="135" t="s">
        <v>613</v>
      </c>
      <c r="B302" s="135">
        <v>3</v>
      </c>
      <c r="C302" s="135" t="s">
        <v>1806</v>
      </c>
      <c r="D302" s="135" t="s">
        <v>1805</v>
      </c>
      <c r="E302" s="135" t="s">
        <v>1552</v>
      </c>
      <c r="F302" s="135">
        <v>6</v>
      </c>
      <c r="G302" s="135">
        <v>3</v>
      </c>
      <c r="H302" s="135" t="s">
        <v>1742</v>
      </c>
      <c r="I302" s="178"/>
      <c r="J302" s="178"/>
      <c r="K302" s="179">
        <v>4.5009999999999998E-3</v>
      </c>
      <c r="L302" s="179">
        <v>0</v>
      </c>
      <c r="M302" s="180">
        <f>K302/(1-'Sac Parametreleri'!$B$27)</f>
        <v>5.4890243902439018E-3</v>
      </c>
      <c r="N302" s="180">
        <f t="shared" si="20"/>
        <v>9.8802439024390197E-4</v>
      </c>
      <c r="O302" s="138">
        <f t="shared" si="21"/>
        <v>0.17999999999999994</v>
      </c>
      <c r="P302" s="181">
        <f>IF(E302="Hardox 450",INDEX('Sac Parametreleri'!$G$11:$G$24,MATCH(F302,'Sac Parametreleri'!$A$11:$A$24,0)),INDEX('Sac Parametreleri'!$E$11:$E$24,MATCH(F302,'Sac Parametreleri'!$A$11:$A$24,0)))</f>
        <v>37.68</v>
      </c>
      <c r="Q302" s="181">
        <f>INDEX('Sac Parametreleri'!$F$11:$F$24,MATCH(F302,'Sac Parametreleri'!$A$11:$A$24,0))</f>
        <v>15.414545454545452</v>
      </c>
      <c r="R302" s="182">
        <f t="shared" si="22"/>
        <v>0.19159649215077604</v>
      </c>
      <c r="S302" s="182">
        <f t="shared" si="23"/>
        <v>0.57478947645232814</v>
      </c>
      <c r="T302" s="139">
        <f>K302*F302*'Sac Parametreleri'!$B$6*G302</f>
        <v>0.63599129999999993</v>
      </c>
      <c r="U302" s="139">
        <f>N302*F302*'Sac Parametreleri'!$B$6*G302</f>
        <v>0.13960784634146334</v>
      </c>
      <c r="V302" s="139">
        <f>M302*F302*'Sac Parametreleri'!$B$6*G302</f>
        <v>0.77559914634146332</v>
      </c>
      <c r="W302" s="135" t="s">
        <v>1520</v>
      </c>
    </row>
    <row r="303" spans="1:23" ht="15" customHeight="1" x14ac:dyDescent="0.25">
      <c r="A303" s="135" t="s">
        <v>613</v>
      </c>
      <c r="B303" s="135">
        <v>4</v>
      </c>
      <c r="C303" s="135" t="s">
        <v>1807</v>
      </c>
      <c r="D303" s="135" t="s">
        <v>738</v>
      </c>
      <c r="E303" s="135" t="s">
        <v>1552</v>
      </c>
      <c r="F303" s="135">
        <v>6</v>
      </c>
      <c r="G303" s="135">
        <v>1</v>
      </c>
      <c r="H303" s="135" t="s">
        <v>1742</v>
      </c>
      <c r="I303" s="178"/>
      <c r="J303" s="178"/>
      <c r="K303" s="179">
        <v>1.4182999999999999E-2</v>
      </c>
      <c r="L303" s="179">
        <v>0</v>
      </c>
      <c r="M303" s="180">
        <f>K303/(1-'Sac Parametreleri'!$B$27)</f>
        <v>1.7296341463414633E-2</v>
      </c>
      <c r="N303" s="180">
        <f t="shared" si="20"/>
        <v>3.1133414634146334E-3</v>
      </c>
      <c r="O303" s="138">
        <f t="shared" si="21"/>
        <v>0.17999999999999997</v>
      </c>
      <c r="P303" s="181">
        <f>IF(E303="Hardox 450",INDEX('Sac Parametreleri'!$G$11:$G$24,MATCH(F303,'Sac Parametreleri'!$A$11:$A$24,0)),INDEX('Sac Parametreleri'!$E$11:$E$24,MATCH(F303,'Sac Parametreleri'!$A$11:$A$24,0)))</f>
        <v>37.68</v>
      </c>
      <c r="Q303" s="181">
        <f>INDEX('Sac Parametreleri'!$F$11:$F$24,MATCH(F303,'Sac Parametreleri'!$A$11:$A$24,0))</f>
        <v>15.414545454545452</v>
      </c>
      <c r="R303" s="182">
        <f t="shared" si="22"/>
        <v>0.60373540283813742</v>
      </c>
      <c r="S303" s="182">
        <f t="shared" si="23"/>
        <v>0.60373540283813742</v>
      </c>
      <c r="T303" s="139">
        <f>K303*F303*'Sac Parametreleri'!$B$6*G303</f>
        <v>0.66801929999999987</v>
      </c>
      <c r="U303" s="139">
        <f>N303*F303*'Sac Parametreleri'!$B$6*G303</f>
        <v>0.14663838292682924</v>
      </c>
      <c r="V303" s="139">
        <f>M303*F303*'Sac Parametreleri'!$B$6*G303</f>
        <v>0.81465768292682916</v>
      </c>
      <c r="W303" s="135" t="s">
        <v>1520</v>
      </c>
    </row>
    <row r="304" spans="1:23" ht="15" customHeight="1" x14ac:dyDescent="0.25">
      <c r="A304" s="135" t="s">
        <v>523</v>
      </c>
      <c r="B304" s="135">
        <v>3</v>
      </c>
      <c r="C304" s="135" t="s">
        <v>1808</v>
      </c>
      <c r="D304" s="135" t="s">
        <v>1809</v>
      </c>
      <c r="E304" s="135" t="s">
        <v>1552</v>
      </c>
      <c r="F304" s="135">
        <v>8</v>
      </c>
      <c r="G304" s="135">
        <v>1</v>
      </c>
      <c r="H304" s="135" t="s">
        <v>1742</v>
      </c>
      <c r="I304" s="178"/>
      <c r="J304" s="178"/>
      <c r="K304" s="179">
        <v>5.9389999999999998E-3</v>
      </c>
      <c r="L304" s="179">
        <v>0</v>
      </c>
      <c r="M304" s="180">
        <f>K304/(1-'Sac Parametreleri'!$B$27)</f>
        <v>7.2426829268292673E-3</v>
      </c>
      <c r="N304" s="180">
        <f t="shared" si="20"/>
        <v>1.3036829268292674E-3</v>
      </c>
      <c r="O304" s="138">
        <f t="shared" si="21"/>
        <v>0.17999999999999991</v>
      </c>
      <c r="P304" s="181">
        <f>IF(E304="Hardox 450",INDEX('Sac Parametreleri'!$G$11:$G$24,MATCH(F304,'Sac Parametreleri'!$A$11:$A$24,0)),INDEX('Sac Parametreleri'!$E$11:$E$24,MATCH(F304,'Sac Parametreleri'!$A$11:$A$24,0)))</f>
        <v>50.24</v>
      </c>
      <c r="Q304" s="181">
        <f>INDEX('Sac Parametreleri'!$F$11:$F$24,MATCH(F304,'Sac Parametreleri'!$A$11:$A$24,0))</f>
        <v>20.552727272727271</v>
      </c>
      <c r="R304" s="182">
        <f t="shared" si="22"/>
        <v>0.33707815059866958</v>
      </c>
      <c r="S304" s="182">
        <f t="shared" si="23"/>
        <v>0.33707815059866958</v>
      </c>
      <c r="T304" s="139">
        <f>K304*F304*'Sac Parametreleri'!$B$6*G304</f>
        <v>0.37296919999999995</v>
      </c>
      <c r="U304" s="139">
        <f>N304*F304*'Sac Parametreleri'!$B$6*G304</f>
        <v>8.1871287804877985E-2</v>
      </c>
      <c r="V304" s="139">
        <f>M304*F304*'Sac Parametreleri'!$B$6*G304</f>
        <v>0.45484048780487796</v>
      </c>
      <c r="W304" s="135" t="s">
        <v>1520</v>
      </c>
    </row>
    <row r="305" spans="1:24" ht="15" customHeight="1" x14ac:dyDescent="0.25">
      <c r="A305" s="135" t="s">
        <v>523</v>
      </c>
      <c r="B305" s="135">
        <v>4</v>
      </c>
      <c r="C305" s="135" t="s">
        <v>1810</v>
      </c>
      <c r="D305" s="135" t="s">
        <v>1811</v>
      </c>
      <c r="E305" s="135" t="s">
        <v>1552</v>
      </c>
      <c r="F305" s="135">
        <v>8</v>
      </c>
      <c r="G305" s="135">
        <v>1</v>
      </c>
      <c r="H305" s="135" t="s">
        <v>1742</v>
      </c>
      <c r="I305" s="178"/>
      <c r="J305" s="178"/>
      <c r="K305" s="179">
        <v>2.5908E-2</v>
      </c>
      <c r="L305" s="179">
        <v>0</v>
      </c>
      <c r="M305" s="180">
        <f>K305/(1-'Sac Parametreleri'!$B$27)</f>
        <v>3.159512195121951E-2</v>
      </c>
      <c r="N305" s="180">
        <f t="shared" si="20"/>
        <v>5.6871219512195093E-3</v>
      </c>
      <c r="O305" s="138">
        <f t="shared" si="21"/>
        <v>0.17999999999999991</v>
      </c>
      <c r="P305" s="181">
        <f>IF(E305="Hardox 450",INDEX('Sac Parametreleri'!$G$11:$G$24,MATCH(F305,'Sac Parametreleri'!$A$11:$A$24,0)),INDEX('Sac Parametreleri'!$E$11:$E$24,MATCH(F305,'Sac Parametreleri'!$A$11:$A$24,0)))</f>
        <v>50.24</v>
      </c>
      <c r="Q305" s="181">
        <f>INDEX('Sac Parametreleri'!$F$11:$F$24,MATCH(F305,'Sac Parametreleri'!$A$11:$A$24,0))</f>
        <v>20.552727272727271</v>
      </c>
      <c r="R305" s="182">
        <f t="shared" si="22"/>
        <v>1.4704530603991131</v>
      </c>
      <c r="S305" s="182">
        <f t="shared" si="23"/>
        <v>1.4704530603991131</v>
      </c>
      <c r="T305" s="139">
        <f>K305*F305*'Sac Parametreleri'!$B$6*G305</f>
        <v>1.6270224</v>
      </c>
      <c r="U305" s="139">
        <f>N305*F305*'Sac Parametreleri'!$B$6*G305</f>
        <v>0.35715125853658519</v>
      </c>
      <c r="V305" s="139">
        <f>M305*F305*'Sac Parametreleri'!$B$6*G305</f>
        <v>1.9841736585365852</v>
      </c>
      <c r="W305" s="135" t="s">
        <v>1520</v>
      </c>
    </row>
    <row r="306" spans="1:24" ht="15" customHeight="1" x14ac:dyDescent="0.25">
      <c r="A306" s="135" t="s">
        <v>551</v>
      </c>
      <c r="B306" s="135">
        <v>1</v>
      </c>
      <c r="C306" s="135" t="s">
        <v>1802</v>
      </c>
      <c r="D306" s="135" t="s">
        <v>749</v>
      </c>
      <c r="E306" s="135" t="s">
        <v>1552</v>
      </c>
      <c r="F306" s="135">
        <v>8</v>
      </c>
      <c r="G306" s="135">
        <v>1</v>
      </c>
      <c r="H306" s="135" t="s">
        <v>1742</v>
      </c>
      <c r="I306" s="178"/>
      <c r="J306" s="178"/>
      <c r="K306" s="179">
        <v>3.6879000000000002E-2</v>
      </c>
      <c r="L306" s="179">
        <v>0</v>
      </c>
      <c r="M306" s="180">
        <f>K306/(1-'Sac Parametreleri'!$B$27)</f>
        <v>4.4974390243902436E-2</v>
      </c>
      <c r="N306" s="180">
        <f t="shared" si="20"/>
        <v>8.0953902439024339E-3</v>
      </c>
      <c r="O306" s="138">
        <f t="shared" si="21"/>
        <v>0.17999999999999991</v>
      </c>
      <c r="P306" s="181">
        <f>IF(E306="Hardox 450",INDEX('Sac Parametreleri'!$G$11:$G$24,MATCH(F306,'Sac Parametreleri'!$A$11:$A$24,0)),INDEX('Sac Parametreleri'!$E$11:$E$24,MATCH(F306,'Sac Parametreleri'!$A$11:$A$24,0)))</f>
        <v>50.24</v>
      </c>
      <c r="Q306" s="181">
        <f>INDEX('Sac Parametreleri'!$F$11:$F$24,MATCH(F306,'Sac Parametreleri'!$A$11:$A$24,0))</f>
        <v>20.552727272727271</v>
      </c>
      <c r="R306" s="182">
        <f t="shared" si="22"/>
        <v>2.0931310180044349</v>
      </c>
      <c r="S306" s="182">
        <f t="shared" si="23"/>
        <v>2.0931310180044349</v>
      </c>
      <c r="T306" s="139">
        <f>K306*F306*'Sac Parametreleri'!$B$6*G306</f>
        <v>2.3160012000000001</v>
      </c>
      <c r="U306" s="139">
        <f>N306*F306*'Sac Parametreleri'!$B$6*G306</f>
        <v>0.5083905073170728</v>
      </c>
      <c r="V306" s="139">
        <f>M306*F306*'Sac Parametreleri'!$B$6*G306</f>
        <v>2.8243917073170728</v>
      </c>
      <c r="W306" s="135" t="s">
        <v>1520</v>
      </c>
    </row>
    <row r="307" spans="1:24" ht="15" customHeight="1" x14ac:dyDescent="0.25">
      <c r="A307" s="135" t="s">
        <v>551</v>
      </c>
      <c r="B307" s="135">
        <v>3</v>
      </c>
      <c r="C307" s="135" t="s">
        <v>1812</v>
      </c>
      <c r="D307" s="135" t="s">
        <v>1813</v>
      </c>
      <c r="E307" s="135" t="s">
        <v>1552</v>
      </c>
      <c r="F307" s="135">
        <v>8</v>
      </c>
      <c r="G307" s="135">
        <v>1</v>
      </c>
      <c r="H307" s="135" t="s">
        <v>1742</v>
      </c>
      <c r="I307" s="178"/>
      <c r="J307" s="178"/>
      <c r="K307" s="179">
        <v>4.6575999999999999E-2</v>
      </c>
      <c r="L307" s="179">
        <v>0</v>
      </c>
      <c r="M307" s="180">
        <f>K307/(1-'Sac Parametreleri'!$B$27)</f>
        <v>5.6799999999999996E-2</v>
      </c>
      <c r="N307" s="180">
        <f t="shared" si="20"/>
        <v>1.0223999999999997E-2</v>
      </c>
      <c r="O307" s="138">
        <f t="shared" si="21"/>
        <v>0.17999999999999997</v>
      </c>
      <c r="P307" s="181">
        <f>IF(E307="Hardox 450",INDEX('Sac Parametreleri'!$G$11:$G$24,MATCH(F307,'Sac Parametreleri'!$A$11:$A$24,0)),INDEX('Sac Parametreleri'!$E$11:$E$24,MATCH(F307,'Sac Parametreleri'!$A$11:$A$24,0)))</f>
        <v>50.24</v>
      </c>
      <c r="Q307" s="181">
        <f>INDEX('Sac Parametreleri'!$F$11:$F$24,MATCH(F307,'Sac Parametreleri'!$A$11:$A$24,0))</f>
        <v>20.552727272727271</v>
      </c>
      <c r="R307" s="182">
        <f t="shared" si="22"/>
        <v>2.643500916363636</v>
      </c>
      <c r="S307" s="182">
        <f t="shared" si="23"/>
        <v>2.643500916363636</v>
      </c>
      <c r="T307" s="139">
        <f>K307*F307*'Sac Parametreleri'!$B$6*G307</f>
        <v>2.9249727999999999</v>
      </c>
      <c r="U307" s="139">
        <f>N307*F307*'Sac Parametreleri'!$B$6*G307</f>
        <v>0.64206719999999973</v>
      </c>
      <c r="V307" s="139">
        <f>M307*F307*'Sac Parametreleri'!$B$6*G307</f>
        <v>3.5670399999999995</v>
      </c>
      <c r="W307" s="135" t="s">
        <v>1520</v>
      </c>
    </row>
    <row r="308" spans="1:24" ht="15" customHeight="1" x14ac:dyDescent="0.25">
      <c r="A308" s="135" t="s">
        <v>490</v>
      </c>
      <c r="B308" s="135">
        <v>1</v>
      </c>
      <c r="C308" s="135" t="s">
        <v>879</v>
      </c>
      <c r="D308" s="135" t="s">
        <v>880</v>
      </c>
      <c r="E308" s="135" t="s">
        <v>1552</v>
      </c>
      <c r="F308" s="135">
        <v>3</v>
      </c>
      <c r="G308" s="135">
        <v>1</v>
      </c>
      <c r="H308" s="135" t="s">
        <v>1746</v>
      </c>
      <c r="I308" s="178"/>
      <c r="J308" s="178"/>
      <c r="K308" s="179">
        <v>0.21804699999999999</v>
      </c>
      <c r="L308" s="179">
        <v>0</v>
      </c>
      <c r="M308" s="180">
        <f>K308/(1-'Sac Parametreleri'!$B$29)</f>
        <v>0.2763586818757921</v>
      </c>
      <c r="N308" s="180">
        <f t="shared" si="20"/>
        <v>5.831168187579211E-2</v>
      </c>
      <c r="O308" s="138">
        <f t="shared" si="21"/>
        <v>0.21099999999999991</v>
      </c>
      <c r="P308" s="181">
        <f>IF(E308="Hardox 450",INDEX('Sac Parametreleri'!$G$11:$G$24,MATCH(F308,'Sac Parametreleri'!$A$11:$A$24,0)),INDEX('Sac Parametreleri'!$E$11:$E$24,MATCH(F308,'Sac Parametreleri'!$A$11:$A$24,0)))</f>
        <v>18.84</v>
      </c>
      <c r="Q308" s="181">
        <f>INDEX('Sac Parametreleri'!$F$11:$F$24,MATCH(F308,'Sac Parametreleri'!$A$11:$A$24,0))</f>
        <v>7.7072727272727262</v>
      </c>
      <c r="R308" s="182">
        <f t="shared" si="22"/>
        <v>4.7571735311372274</v>
      </c>
      <c r="S308" s="182">
        <f t="shared" si="23"/>
        <v>4.7571735311372274</v>
      </c>
      <c r="T308" s="139">
        <f>K308*F308*'Sac Parametreleri'!$B$6*G308</f>
        <v>5.1350068499999999</v>
      </c>
      <c r="U308" s="139">
        <f>N308*F308*'Sac Parametreleri'!$B$6*G308</f>
        <v>1.3732401081749042</v>
      </c>
      <c r="V308" s="139">
        <f>M308*F308*'Sac Parametreleri'!$B$6*G308</f>
        <v>6.5082469581749036</v>
      </c>
      <c r="W308" s="135" t="s">
        <v>1520</v>
      </c>
    </row>
    <row r="309" spans="1:24" ht="15" customHeight="1" x14ac:dyDescent="0.25">
      <c r="A309" s="135" t="s">
        <v>490</v>
      </c>
      <c r="B309" s="135">
        <v>2</v>
      </c>
      <c r="C309" s="135" t="s">
        <v>1814</v>
      </c>
      <c r="D309" s="135" t="s">
        <v>1815</v>
      </c>
      <c r="E309" s="135" t="s">
        <v>1552</v>
      </c>
      <c r="F309" s="135">
        <v>5</v>
      </c>
      <c r="G309" s="135">
        <v>2</v>
      </c>
      <c r="H309" s="135" t="s">
        <v>1742</v>
      </c>
      <c r="I309" s="178"/>
      <c r="J309" s="178"/>
      <c r="K309" s="179">
        <v>7.7710000000000001E-3</v>
      </c>
      <c r="L309" s="179">
        <v>0</v>
      </c>
      <c r="M309" s="180">
        <f>K309/(1-'Sac Parametreleri'!$B$27)</f>
        <v>9.4768292682926823E-3</v>
      </c>
      <c r="N309" s="180">
        <f t="shared" si="20"/>
        <v>1.7058292682926822E-3</v>
      </c>
      <c r="O309" s="138">
        <f t="shared" si="21"/>
        <v>0.17999999999999994</v>
      </c>
      <c r="P309" s="181">
        <f>IF(E309="Hardox 450",INDEX('Sac Parametreleri'!$G$11:$G$24,MATCH(F309,'Sac Parametreleri'!$A$11:$A$24,0)),INDEX('Sac Parametreleri'!$E$11:$E$24,MATCH(F309,'Sac Parametreleri'!$A$11:$A$24,0)))</f>
        <v>31.400000000000002</v>
      </c>
      <c r="Q309" s="181">
        <f>INDEX('Sac Parametreleri'!$F$11:$F$24,MATCH(F309,'Sac Parametreleri'!$A$11:$A$24,0))</f>
        <v>12.845454545454546</v>
      </c>
      <c r="R309" s="182">
        <f t="shared" si="22"/>
        <v>0.27566028669623061</v>
      </c>
      <c r="S309" s="182">
        <f t="shared" si="23"/>
        <v>0.55132057339246121</v>
      </c>
      <c r="T309" s="139">
        <f>K309*F309*'Sac Parametreleri'!$B$6*G309</f>
        <v>0.61002349999999994</v>
      </c>
      <c r="U309" s="139">
        <f>N309*F309*'Sac Parametreleri'!$B$6*G309</f>
        <v>0.13390759756097553</v>
      </c>
      <c r="V309" s="139">
        <f>M309*F309*'Sac Parametreleri'!$B$6*G309</f>
        <v>0.74393109756097553</v>
      </c>
      <c r="W309" s="135" t="s">
        <v>1520</v>
      </c>
    </row>
    <row r="310" spans="1:24" ht="15" customHeight="1" x14ac:dyDescent="0.25">
      <c r="A310" s="135" t="s">
        <v>517</v>
      </c>
      <c r="B310" s="135">
        <v>2</v>
      </c>
      <c r="C310" s="135" t="s">
        <v>1816</v>
      </c>
      <c r="D310" s="135" t="s">
        <v>1817</v>
      </c>
      <c r="E310" s="135" t="s">
        <v>1552</v>
      </c>
      <c r="F310" s="135">
        <v>20</v>
      </c>
      <c r="G310" s="135">
        <v>1</v>
      </c>
      <c r="H310" s="135" t="s">
        <v>1742</v>
      </c>
      <c r="I310" s="178"/>
      <c r="J310" s="178"/>
      <c r="K310" s="179">
        <v>1.507E-2</v>
      </c>
      <c r="L310" s="179">
        <v>0</v>
      </c>
      <c r="M310" s="180">
        <f>K310/(1-'Sac Parametreleri'!$B$27)</f>
        <v>1.8378048780487804E-2</v>
      </c>
      <c r="N310" s="180">
        <f t="shared" si="20"/>
        <v>3.3080487804878038E-3</v>
      </c>
      <c r="O310" s="138">
        <f t="shared" si="21"/>
        <v>0.17999999999999994</v>
      </c>
      <c r="P310" s="181">
        <f>IF(E310="Hardox 450",INDEX('Sac Parametreleri'!$G$11:$G$24,MATCH(F310,'Sac Parametreleri'!$A$11:$A$24,0)),INDEX('Sac Parametreleri'!$E$11:$E$24,MATCH(F310,'Sac Parametreleri'!$A$11:$A$24,0)))</f>
        <v>125.60000000000001</v>
      </c>
      <c r="Q310" s="181">
        <f>INDEX('Sac Parametreleri'!$F$11:$F$24,MATCH(F310,'Sac Parametreleri'!$A$11:$A$24,0))</f>
        <v>51.381818181818183</v>
      </c>
      <c r="R310" s="182">
        <f t="shared" si="22"/>
        <v>2.1383093658536585</v>
      </c>
      <c r="S310" s="182">
        <f t="shared" si="23"/>
        <v>2.1383093658536585</v>
      </c>
      <c r="T310" s="139">
        <f>K310*F310*'Sac Parametreleri'!$B$6*G310</f>
        <v>2.36599</v>
      </c>
      <c r="U310" s="139">
        <f>N310*F310*'Sac Parametreleri'!$B$6*G310</f>
        <v>0.51936365853658517</v>
      </c>
      <c r="V310" s="139">
        <f>M310*F310*'Sac Parametreleri'!$B$6*G310</f>
        <v>2.8853536585365851</v>
      </c>
      <c r="W310" s="135" t="s">
        <v>1520</v>
      </c>
    </row>
    <row r="311" spans="1:24" ht="15" customHeight="1" x14ac:dyDescent="0.25">
      <c r="A311" s="135" t="s">
        <v>494</v>
      </c>
      <c r="B311" s="135">
        <v>1</v>
      </c>
      <c r="C311" s="135" t="s">
        <v>885</v>
      </c>
      <c r="D311" s="135" t="s">
        <v>886</v>
      </c>
      <c r="E311" s="135" t="s">
        <v>1552</v>
      </c>
      <c r="F311" s="135">
        <v>3</v>
      </c>
      <c r="G311" s="135">
        <v>1</v>
      </c>
      <c r="H311" s="135" t="s">
        <v>1765</v>
      </c>
      <c r="I311" s="178"/>
      <c r="J311" s="178"/>
      <c r="K311" s="179">
        <v>0.21961800000000001</v>
      </c>
      <c r="L311" s="179">
        <v>0</v>
      </c>
      <c r="M311" s="180">
        <f>K311/(1-'Sac Parametreleri'!$B$29)</f>
        <v>0.27834980988593155</v>
      </c>
      <c r="N311" s="180">
        <f t="shared" si="20"/>
        <v>5.8731809885931546E-2</v>
      </c>
      <c r="O311" s="138">
        <f t="shared" si="21"/>
        <v>0.21099999999999997</v>
      </c>
      <c r="P311" s="181">
        <f>IF(E311="Hardox 450",INDEX('Sac Parametreleri'!$G$11:$G$24,MATCH(F311,'Sac Parametreleri'!$A$11:$A$24,0)),INDEX('Sac Parametreleri'!$E$11:$E$24,MATCH(F311,'Sac Parametreleri'!$A$11:$A$24,0)))</f>
        <v>18.84</v>
      </c>
      <c r="Q311" s="181">
        <f>INDEX('Sac Parametreleri'!$F$11:$F$24,MATCH(F311,'Sac Parametreleri'!$A$11:$A$24,0))</f>
        <v>7.7072727272727262</v>
      </c>
      <c r="R311" s="182">
        <f t="shared" si="22"/>
        <v>4.7914483416937435</v>
      </c>
      <c r="S311" s="182">
        <f t="shared" si="23"/>
        <v>4.7914483416937435</v>
      </c>
      <c r="T311" s="139">
        <f>K311*F311*'Sac Parametreleri'!$B$6*G311</f>
        <v>5.1720039</v>
      </c>
      <c r="U311" s="139">
        <f>N311*F311*'Sac Parametreleri'!$B$6*G311</f>
        <v>1.3831341228136877</v>
      </c>
      <c r="V311" s="139">
        <f>M311*F311*'Sac Parametreleri'!$B$6*G311</f>
        <v>6.5551380228136873</v>
      </c>
      <c r="W311" s="135" t="s">
        <v>1520</v>
      </c>
    </row>
    <row r="312" spans="1:24" ht="21.75" customHeight="1" x14ac:dyDescent="0.25">
      <c r="A312" s="125" t="s">
        <v>494</v>
      </c>
      <c r="B312" s="125">
        <v>2</v>
      </c>
      <c r="C312" s="125" t="s">
        <v>1818</v>
      </c>
      <c r="D312" s="125" t="s">
        <v>1819</v>
      </c>
      <c r="E312" s="125" t="s">
        <v>1552</v>
      </c>
      <c r="F312" s="125">
        <v>5</v>
      </c>
      <c r="G312" s="125">
        <v>1</v>
      </c>
      <c r="H312" s="125" t="s">
        <v>1772</v>
      </c>
      <c r="I312" s="164">
        <v>300</v>
      </c>
      <c r="J312" s="164">
        <v>45</v>
      </c>
      <c r="K312" s="165">
        <v>8.5319999999999997E-3</v>
      </c>
      <c r="L312" s="165">
        <v>0</v>
      </c>
      <c r="M312" s="166">
        <f>I312*J312/1000000</f>
        <v>1.35E-2</v>
      </c>
      <c r="N312" s="166">
        <f t="shared" si="20"/>
        <v>4.9680000000000002E-3</v>
      </c>
      <c r="O312" s="128">
        <f t="shared" si="21"/>
        <v>0.36799999999999999</v>
      </c>
      <c r="P312" s="167">
        <f>IF(E312="Hardox 450",INDEX('Sac Parametreleri'!$G$11:$G$24,MATCH(F312,'Sac Parametreleri'!$A$11:$A$24,0)),INDEX('Sac Parametreleri'!$E$11:$E$24,MATCH(F312,'Sac Parametreleri'!$A$11:$A$24,0)))</f>
        <v>31.400000000000002</v>
      </c>
      <c r="Q312" s="167">
        <f>INDEX('Sac Parametreleri'!$F$11:$F$24,MATCH(F312,'Sac Parametreleri'!$A$11:$A$24,0))</f>
        <v>12.845454545454546</v>
      </c>
      <c r="R312" s="168">
        <f t="shared" si="22"/>
        <v>0.36008378181818179</v>
      </c>
      <c r="S312" s="168">
        <f t="shared" si="23"/>
        <v>0.36008378181818179</v>
      </c>
      <c r="T312" s="129">
        <f>K312*F312*'Sac Parametreleri'!$B$6*G312</f>
        <v>0.33488099999999998</v>
      </c>
      <c r="U312" s="129">
        <f>N312*F312*'Sac Parametreleri'!$B$6*G312</f>
        <v>0.194994</v>
      </c>
      <c r="V312" s="129">
        <f>M312*F312*'Sac Parametreleri'!$B$6*G312</f>
        <v>0.52987499999999998</v>
      </c>
      <c r="W312" s="125" t="s">
        <v>1520</v>
      </c>
      <c r="X312" s="169" t="s">
        <v>1820</v>
      </c>
    </row>
    <row r="313" spans="1:24" ht="15" customHeight="1" x14ac:dyDescent="0.25">
      <c r="A313" s="135" t="s">
        <v>560</v>
      </c>
      <c r="B313" s="135">
        <v>1</v>
      </c>
      <c r="C313" s="135" t="s">
        <v>910</v>
      </c>
      <c r="D313" s="135" t="s">
        <v>911</v>
      </c>
      <c r="E313" s="135" t="s">
        <v>1552</v>
      </c>
      <c r="F313" s="135">
        <v>3</v>
      </c>
      <c r="G313" s="135">
        <v>1</v>
      </c>
      <c r="H313" s="135" t="s">
        <v>1765</v>
      </c>
      <c r="I313" s="178"/>
      <c r="J313" s="178"/>
      <c r="K313" s="179">
        <v>0.217113</v>
      </c>
      <c r="L313" s="179">
        <v>0</v>
      </c>
      <c r="M313" s="180">
        <f>K313/(1-'Sac Parametreleri'!$B$29)</f>
        <v>0.27517490494296576</v>
      </c>
      <c r="N313" s="180">
        <f t="shared" si="20"/>
        <v>5.8061904942965759E-2</v>
      </c>
      <c r="O313" s="138">
        <f t="shared" si="21"/>
        <v>0.21099999999999994</v>
      </c>
      <c r="P313" s="181">
        <f>IF(E313="Hardox 450",INDEX('Sac Parametreleri'!$G$11:$G$24,MATCH(F313,'Sac Parametreleri'!$A$11:$A$24,0)),INDEX('Sac Parametreleri'!$E$11:$E$24,MATCH(F313,'Sac Parametreleri'!$A$11:$A$24,0)))</f>
        <v>18.84</v>
      </c>
      <c r="Q313" s="181">
        <f>INDEX('Sac Parametreleri'!$F$11:$F$24,MATCH(F313,'Sac Parametreleri'!$A$11:$A$24,0))</f>
        <v>7.7072727272727262</v>
      </c>
      <c r="R313" s="182">
        <f t="shared" si="22"/>
        <v>4.7367962726650532</v>
      </c>
      <c r="S313" s="182">
        <f t="shared" si="23"/>
        <v>4.7367962726650532</v>
      </c>
      <c r="T313" s="139">
        <f>K313*F313*'Sac Parametreleri'!$B$6*G313</f>
        <v>5.1130111500000002</v>
      </c>
      <c r="U313" s="139">
        <f>N313*F313*'Sac Parametreleri'!$B$6*G313</f>
        <v>1.3673578614068436</v>
      </c>
      <c r="V313" s="139">
        <f>M313*F313*'Sac Parametreleri'!$B$6*G313</f>
        <v>6.480369011406844</v>
      </c>
      <c r="W313" s="135" t="s">
        <v>1520</v>
      </c>
    </row>
    <row r="314" spans="1:24" ht="15" customHeight="1" x14ac:dyDescent="0.25">
      <c r="A314" s="135" t="s">
        <v>560</v>
      </c>
      <c r="B314" s="135">
        <v>2</v>
      </c>
      <c r="C314" s="135" t="s">
        <v>1821</v>
      </c>
      <c r="D314" s="135" t="s">
        <v>1822</v>
      </c>
      <c r="E314" s="135" t="s">
        <v>1552</v>
      </c>
      <c r="F314" s="135">
        <v>5</v>
      </c>
      <c r="G314" s="135">
        <v>1</v>
      </c>
      <c r="H314" s="135" t="s">
        <v>1742</v>
      </c>
      <c r="I314" s="178"/>
      <c r="J314" s="178"/>
      <c r="K314" s="179">
        <v>8.5100000000000002E-3</v>
      </c>
      <c r="L314" s="179">
        <v>0</v>
      </c>
      <c r="M314" s="180">
        <f>K314/(1-'Sac Parametreleri'!$B$27)</f>
        <v>1.0378048780487804E-2</v>
      </c>
      <c r="N314" s="180">
        <f t="shared" si="20"/>
        <v>1.8680487804878035E-3</v>
      </c>
      <c r="O314" s="138">
        <f t="shared" si="21"/>
        <v>0.17999999999999988</v>
      </c>
      <c r="P314" s="181">
        <f>IF(E314="Hardox 450",INDEX('Sac Parametreleri'!$G$11:$G$24,MATCH(F314,'Sac Parametreleri'!$A$11:$A$24,0)),INDEX('Sac Parametreleri'!$E$11:$E$24,MATCH(F314,'Sac Parametreleri'!$A$11:$A$24,0)))</f>
        <v>31.400000000000002</v>
      </c>
      <c r="Q314" s="181">
        <f>INDEX('Sac Parametreleri'!$F$11:$F$24,MATCH(F314,'Sac Parametreleri'!$A$11:$A$24,0))</f>
        <v>12.845454545454546</v>
      </c>
      <c r="R314" s="182">
        <f t="shared" si="22"/>
        <v>0.30187479600886918</v>
      </c>
      <c r="S314" s="182">
        <f t="shared" si="23"/>
        <v>0.30187479600886918</v>
      </c>
      <c r="T314" s="139">
        <f>K314*F314*'Sac Parametreleri'!$B$6*G314</f>
        <v>0.33401750000000002</v>
      </c>
      <c r="U314" s="139">
        <f>N314*F314*'Sac Parametreleri'!$B$6*G314</f>
        <v>7.3320914634146278E-2</v>
      </c>
      <c r="V314" s="139">
        <f>M314*F314*'Sac Parametreleri'!$B$6*G314</f>
        <v>0.40733841463414627</v>
      </c>
      <c r="W314" s="135" t="s">
        <v>1520</v>
      </c>
    </row>
    <row r="315" spans="1:24" ht="15" customHeight="1" x14ac:dyDescent="0.25">
      <c r="A315" s="135" t="s">
        <v>570</v>
      </c>
      <c r="B315" s="135">
        <v>1</v>
      </c>
      <c r="C315" s="135" t="s">
        <v>725</v>
      </c>
      <c r="D315" s="135" t="s">
        <v>726</v>
      </c>
      <c r="E315" s="135" t="s">
        <v>1552</v>
      </c>
      <c r="F315" s="135">
        <v>12</v>
      </c>
      <c r="G315" s="135">
        <v>1</v>
      </c>
      <c r="H315" s="135" t="s">
        <v>1765</v>
      </c>
      <c r="I315" s="178"/>
      <c r="J315" s="178"/>
      <c r="K315" s="179">
        <v>4.7281999999999998E-2</v>
      </c>
      <c r="L315" s="179">
        <v>0</v>
      </c>
      <c r="M315" s="180">
        <f>K315/(1-'Sac Parametreleri'!$B$29)</f>
        <v>5.9926489226869446E-2</v>
      </c>
      <c r="N315" s="180">
        <f t="shared" si="20"/>
        <v>1.2644489226869449E-2</v>
      </c>
      <c r="O315" s="138">
        <f t="shared" si="21"/>
        <v>0.21099999999999994</v>
      </c>
      <c r="P315" s="181">
        <f>IF(E315="Hardox 450",INDEX('Sac Parametreleri'!$G$11:$G$24,MATCH(F315,'Sac Parametreleri'!$A$11:$A$24,0)),INDEX('Sac Parametreleri'!$E$11:$E$24,MATCH(F315,'Sac Parametreleri'!$A$11:$A$24,0)))</f>
        <v>75.36</v>
      </c>
      <c r="Q315" s="181">
        <f>INDEX('Sac Parametreleri'!$F$11:$F$24,MATCH(F315,'Sac Parametreleri'!$A$11:$A$24,0))</f>
        <v>30.829090909090905</v>
      </c>
      <c r="R315" s="182">
        <f t="shared" si="22"/>
        <v>4.1262421202627024</v>
      </c>
      <c r="S315" s="182">
        <f t="shared" si="23"/>
        <v>4.1262421202627024</v>
      </c>
      <c r="T315" s="139">
        <f>K315*F315*'Sac Parametreleri'!$B$6*G315</f>
        <v>4.4539643999999994</v>
      </c>
      <c r="U315" s="139">
        <f>N315*F315*'Sac Parametreleri'!$B$6*G315</f>
        <v>1.1911108851711021</v>
      </c>
      <c r="V315" s="139">
        <f>M315*F315*'Sac Parametreleri'!$B$6*G315</f>
        <v>5.6450752851711021</v>
      </c>
      <c r="W315" s="135" t="s">
        <v>1520</v>
      </c>
    </row>
    <row r="316" spans="1:24" ht="15" customHeight="1" x14ac:dyDescent="0.25">
      <c r="A316" s="135" t="s">
        <v>570</v>
      </c>
      <c r="B316" s="135">
        <v>2</v>
      </c>
      <c r="C316" s="135" t="s">
        <v>1823</v>
      </c>
      <c r="D316" s="135" t="s">
        <v>1824</v>
      </c>
      <c r="E316" s="135" t="s">
        <v>1552</v>
      </c>
      <c r="F316" s="135">
        <v>12</v>
      </c>
      <c r="G316" s="135">
        <v>2</v>
      </c>
      <c r="H316" s="135" t="s">
        <v>1742</v>
      </c>
      <c r="I316" s="178"/>
      <c r="J316" s="178"/>
      <c r="K316" s="179">
        <v>3.1210000000000001E-3</v>
      </c>
      <c r="L316" s="179">
        <v>0</v>
      </c>
      <c r="M316" s="180">
        <f>K316/(1-'Sac Parametreleri'!$B$27)</f>
        <v>3.8060975609756098E-3</v>
      </c>
      <c r="N316" s="180">
        <f t="shared" si="20"/>
        <v>6.8509756097560968E-4</v>
      </c>
      <c r="O316" s="138">
        <f t="shared" si="21"/>
        <v>0.18</v>
      </c>
      <c r="P316" s="181">
        <f>IF(E316="Hardox 450",INDEX('Sac Parametreleri'!$G$11:$G$24,MATCH(F316,'Sac Parametreleri'!$A$11:$A$24,0)),INDEX('Sac Parametreleri'!$E$11:$E$24,MATCH(F316,'Sac Parametreleri'!$A$11:$A$24,0)))</f>
        <v>75.36</v>
      </c>
      <c r="Q316" s="181">
        <f>INDEX('Sac Parametreleri'!$F$11:$F$24,MATCH(F316,'Sac Parametreleri'!$A$11:$A$24,0))</f>
        <v>30.829090909090905</v>
      </c>
      <c r="R316" s="182">
        <f t="shared" si="22"/>
        <v>0.26570657720620838</v>
      </c>
      <c r="S316" s="182">
        <f t="shared" si="23"/>
        <v>0.53141315441241677</v>
      </c>
      <c r="T316" s="139">
        <f>K316*F316*'Sac Parametreleri'!$B$6*G316</f>
        <v>0.58799639999999997</v>
      </c>
      <c r="U316" s="139">
        <f>N316*F316*'Sac Parametreleri'!$B$6*G316</f>
        <v>0.12907238048780487</v>
      </c>
      <c r="V316" s="139">
        <f>M316*F316*'Sac Parametreleri'!$B$6*G316</f>
        <v>0.71706878048780487</v>
      </c>
      <c r="W316" s="135" t="s">
        <v>1520</v>
      </c>
    </row>
    <row r="317" spans="1:24" ht="15" customHeight="1" x14ac:dyDescent="0.25">
      <c r="A317" s="135" t="s">
        <v>602</v>
      </c>
      <c r="B317" s="135">
        <v>2</v>
      </c>
      <c r="C317" s="135" t="s">
        <v>1825</v>
      </c>
      <c r="D317" s="135" t="s">
        <v>774</v>
      </c>
      <c r="E317" s="135" t="s">
        <v>1552</v>
      </c>
      <c r="F317" s="135">
        <v>3</v>
      </c>
      <c r="G317" s="135">
        <v>1</v>
      </c>
      <c r="H317" s="135" t="s">
        <v>1742</v>
      </c>
      <c r="I317" s="178"/>
      <c r="J317" s="178"/>
      <c r="K317" s="179">
        <v>4.5009999999999998E-3</v>
      </c>
      <c r="L317" s="179">
        <v>0</v>
      </c>
      <c r="M317" s="180">
        <f>K317/(1-'Sac Parametreleri'!$B$27)</f>
        <v>5.4890243902439018E-3</v>
      </c>
      <c r="N317" s="180">
        <f t="shared" si="20"/>
        <v>9.8802439024390197E-4</v>
      </c>
      <c r="O317" s="138">
        <f t="shared" si="21"/>
        <v>0.17999999999999994</v>
      </c>
      <c r="P317" s="181">
        <f>IF(E317="Hardox 450",INDEX('Sac Parametreleri'!$G$11:$G$24,MATCH(F317,'Sac Parametreleri'!$A$11:$A$24,0)),INDEX('Sac Parametreleri'!$E$11:$E$24,MATCH(F317,'Sac Parametreleri'!$A$11:$A$24,0)))</f>
        <v>18.84</v>
      </c>
      <c r="Q317" s="181">
        <f>INDEX('Sac Parametreleri'!$F$11:$F$24,MATCH(F317,'Sac Parametreleri'!$A$11:$A$24,0))</f>
        <v>7.7072727272727262</v>
      </c>
      <c r="R317" s="182">
        <f t="shared" si="22"/>
        <v>9.5798246075388019E-2</v>
      </c>
      <c r="S317" s="182">
        <f t="shared" si="23"/>
        <v>9.5798246075388019E-2</v>
      </c>
      <c r="T317" s="139">
        <f>K317*F317*'Sac Parametreleri'!$B$6*G317</f>
        <v>0.10599855</v>
      </c>
      <c r="U317" s="139">
        <f>N317*F317*'Sac Parametreleri'!$B$6*G317</f>
        <v>2.326797439024389E-2</v>
      </c>
      <c r="V317" s="139">
        <f>M317*F317*'Sac Parametreleri'!$B$6*G317</f>
        <v>0.12926652439024389</v>
      </c>
      <c r="W317" s="135" t="s">
        <v>1520</v>
      </c>
    </row>
    <row r="318" spans="1:24" ht="15" customHeight="1" x14ac:dyDescent="0.25">
      <c r="A318" s="135" t="s">
        <v>602</v>
      </c>
      <c r="B318" s="135">
        <v>4</v>
      </c>
      <c r="C318" s="135" t="s">
        <v>1013</v>
      </c>
      <c r="D318" s="135" t="s">
        <v>774</v>
      </c>
      <c r="E318" s="135" t="s">
        <v>1552</v>
      </c>
      <c r="F318" s="135">
        <v>8</v>
      </c>
      <c r="G318" s="135">
        <v>1</v>
      </c>
      <c r="H318" s="135" t="s">
        <v>1746</v>
      </c>
      <c r="I318" s="178"/>
      <c r="J318" s="178"/>
      <c r="K318" s="179">
        <v>1.6337999999999998E-2</v>
      </c>
      <c r="L318" s="179">
        <v>0</v>
      </c>
      <c r="M318" s="180">
        <f>K318/(1-'Sac Parametreleri'!$B$29)</f>
        <v>2.0707224334600757E-2</v>
      </c>
      <c r="N318" s="180">
        <f t="shared" si="20"/>
        <v>4.3692243346007582E-3</v>
      </c>
      <c r="O318" s="138">
        <f t="shared" si="21"/>
        <v>0.21099999999999994</v>
      </c>
      <c r="P318" s="181">
        <f>IF(E318="Hardox 450",INDEX('Sac Parametreleri'!$G$11:$G$24,MATCH(F318,'Sac Parametreleri'!$A$11:$A$24,0)),INDEX('Sac Parametreleri'!$E$11:$E$24,MATCH(F318,'Sac Parametreleri'!$A$11:$A$24,0)))</f>
        <v>50.24</v>
      </c>
      <c r="Q318" s="181">
        <f>INDEX('Sac Parametreleri'!$F$11:$F$24,MATCH(F318,'Sac Parametreleri'!$A$11:$A$24,0))</f>
        <v>20.552727272727271</v>
      </c>
      <c r="R318" s="182">
        <f t="shared" si="22"/>
        <v>0.95053147442792929</v>
      </c>
      <c r="S318" s="182">
        <f t="shared" si="23"/>
        <v>0.95053147442792929</v>
      </c>
      <c r="T318" s="139">
        <f>K318*F318*'Sac Parametreleri'!$B$6*G318</f>
        <v>1.0260263999999999</v>
      </c>
      <c r="U318" s="139">
        <f>N318*F318*'Sac Parametreleri'!$B$6*G318</f>
        <v>0.27438728821292763</v>
      </c>
      <c r="V318" s="139">
        <f>M318*F318*'Sac Parametreleri'!$B$6*G318</f>
        <v>1.3004136882129274</v>
      </c>
      <c r="W318" s="135" t="s">
        <v>1520</v>
      </c>
    </row>
    <row r="319" spans="1:24" ht="15" customHeight="1" x14ac:dyDescent="0.25">
      <c r="A319" s="135" t="s">
        <v>602</v>
      </c>
      <c r="B319" s="135">
        <v>5</v>
      </c>
      <c r="C319" s="135" t="s">
        <v>1826</v>
      </c>
      <c r="D319" s="135" t="s">
        <v>774</v>
      </c>
      <c r="E319" s="135" t="s">
        <v>1552</v>
      </c>
      <c r="F319" s="135">
        <v>8</v>
      </c>
      <c r="G319" s="135">
        <v>2</v>
      </c>
      <c r="H319" s="135" t="s">
        <v>1742</v>
      </c>
      <c r="I319" s="178"/>
      <c r="J319" s="178"/>
      <c r="K319" s="179">
        <v>4.522E-3</v>
      </c>
      <c r="L319" s="179">
        <v>0</v>
      </c>
      <c r="M319" s="180">
        <f>K319/(1-'Sac Parametreleri'!$B$27)</f>
        <v>5.5146341463414633E-3</v>
      </c>
      <c r="N319" s="180">
        <f t="shared" si="20"/>
        <v>9.926341463414633E-4</v>
      </c>
      <c r="O319" s="138">
        <f t="shared" si="21"/>
        <v>0.18</v>
      </c>
      <c r="P319" s="181">
        <f>IF(E319="Hardox 450",INDEX('Sac Parametreleri'!$G$11:$G$24,MATCH(F319,'Sac Parametreleri'!$A$11:$A$24,0)),INDEX('Sac Parametreleri'!$E$11:$E$24,MATCH(F319,'Sac Parametreleri'!$A$11:$A$24,0)))</f>
        <v>50.24</v>
      </c>
      <c r="Q319" s="181">
        <f>INDEX('Sac Parametreleri'!$F$11:$F$24,MATCH(F319,'Sac Parametreleri'!$A$11:$A$24,0))</f>
        <v>20.552727272727271</v>
      </c>
      <c r="R319" s="182">
        <f t="shared" si="22"/>
        <v>0.2566538806208426</v>
      </c>
      <c r="S319" s="182">
        <f t="shared" si="23"/>
        <v>0.5133077612416852</v>
      </c>
      <c r="T319" s="139">
        <f>K319*F319*'Sac Parametreleri'!$B$6*G319</f>
        <v>0.5679632</v>
      </c>
      <c r="U319" s="139">
        <f>N319*F319*'Sac Parametreleri'!$B$6*G319</f>
        <v>0.12467484878048779</v>
      </c>
      <c r="V319" s="139">
        <f>M319*F319*'Sac Parametreleri'!$B$6*G319</f>
        <v>0.69263804878048774</v>
      </c>
      <c r="W319" s="135" t="s">
        <v>1520</v>
      </c>
    </row>
    <row r="320" spans="1:24" ht="15" customHeight="1" x14ac:dyDescent="0.25">
      <c r="A320" s="135" t="s">
        <v>564</v>
      </c>
      <c r="B320" s="135">
        <v>1</v>
      </c>
      <c r="C320" s="135" t="s">
        <v>906</v>
      </c>
      <c r="D320" s="135" t="s">
        <v>907</v>
      </c>
      <c r="E320" s="135" t="s">
        <v>1552</v>
      </c>
      <c r="F320" s="135">
        <v>3</v>
      </c>
      <c r="G320" s="135">
        <v>1</v>
      </c>
      <c r="H320" s="135" t="s">
        <v>1746</v>
      </c>
      <c r="I320" s="178"/>
      <c r="J320" s="178"/>
      <c r="K320" s="179">
        <v>0.195414</v>
      </c>
      <c r="L320" s="179">
        <v>0</v>
      </c>
      <c r="M320" s="180">
        <f>K320/(1-'Sac Parametreleri'!$B$29)</f>
        <v>0.24767300380228136</v>
      </c>
      <c r="N320" s="180">
        <f t="shared" si="20"/>
        <v>5.2259003802281351E-2</v>
      </c>
      <c r="O320" s="138">
        <f t="shared" si="21"/>
        <v>0.21099999999999994</v>
      </c>
      <c r="P320" s="181">
        <f>IF(E320="Hardox 450",INDEX('Sac Parametreleri'!$G$11:$G$24,MATCH(F320,'Sac Parametreleri'!$A$11:$A$24,0)),INDEX('Sac Parametreleri'!$E$11:$E$24,MATCH(F320,'Sac Parametreleri'!$A$11:$A$24,0)))</f>
        <v>18.84</v>
      </c>
      <c r="Q320" s="181">
        <f>INDEX('Sac Parametreleri'!$F$11:$F$24,MATCH(F320,'Sac Parametreleri'!$A$11:$A$24,0))</f>
        <v>7.7072727272727262</v>
      </c>
      <c r="R320" s="182">
        <f t="shared" si="22"/>
        <v>4.2633849968752164</v>
      </c>
      <c r="S320" s="182">
        <f t="shared" si="23"/>
        <v>4.2633849968752164</v>
      </c>
      <c r="T320" s="139">
        <f>K320*F320*'Sac Parametreleri'!$B$6*G320</f>
        <v>4.6019997000000004</v>
      </c>
      <c r="U320" s="139">
        <f>N320*F320*'Sac Parametreleri'!$B$6*G320</f>
        <v>1.2306995395437257</v>
      </c>
      <c r="V320" s="139">
        <f>M320*F320*'Sac Parametreleri'!$B$6*G320</f>
        <v>5.8326992395437252</v>
      </c>
      <c r="W320" s="135" t="s">
        <v>1520</v>
      </c>
    </row>
    <row r="321" spans="1:23" ht="15" customHeight="1" x14ac:dyDescent="0.25">
      <c r="A321" s="135" t="s">
        <v>564</v>
      </c>
      <c r="B321" s="135">
        <v>2</v>
      </c>
      <c r="C321" s="135" t="s">
        <v>1827</v>
      </c>
      <c r="D321" s="135" t="s">
        <v>1828</v>
      </c>
      <c r="E321" s="135" t="s">
        <v>1552</v>
      </c>
      <c r="F321" s="135">
        <v>5</v>
      </c>
      <c r="G321" s="135">
        <v>2</v>
      </c>
      <c r="H321" s="135" t="s">
        <v>1742</v>
      </c>
      <c r="I321" s="178"/>
      <c r="J321" s="178"/>
      <c r="K321" s="179">
        <v>7.7710000000000001E-3</v>
      </c>
      <c r="L321" s="179">
        <v>0</v>
      </c>
      <c r="M321" s="180">
        <f>K321/(1-'Sac Parametreleri'!$B$27)</f>
        <v>9.4768292682926823E-3</v>
      </c>
      <c r="N321" s="180">
        <f t="shared" si="20"/>
        <v>1.7058292682926822E-3</v>
      </c>
      <c r="O321" s="138">
        <f t="shared" si="21"/>
        <v>0.17999999999999994</v>
      </c>
      <c r="P321" s="181">
        <f>IF(E321="Hardox 450",INDEX('Sac Parametreleri'!$G$11:$G$24,MATCH(F321,'Sac Parametreleri'!$A$11:$A$24,0)),INDEX('Sac Parametreleri'!$E$11:$E$24,MATCH(F321,'Sac Parametreleri'!$A$11:$A$24,0)))</f>
        <v>31.400000000000002</v>
      </c>
      <c r="Q321" s="181">
        <f>INDEX('Sac Parametreleri'!$F$11:$F$24,MATCH(F321,'Sac Parametreleri'!$A$11:$A$24,0))</f>
        <v>12.845454545454546</v>
      </c>
      <c r="R321" s="182">
        <f t="shared" si="22"/>
        <v>0.27566028669623061</v>
      </c>
      <c r="S321" s="182">
        <f t="shared" si="23"/>
        <v>0.55132057339246121</v>
      </c>
      <c r="T321" s="139">
        <f>K321*F321*'Sac Parametreleri'!$B$6*G321</f>
        <v>0.61002349999999994</v>
      </c>
      <c r="U321" s="139">
        <f>N321*F321*'Sac Parametreleri'!$B$6*G321</f>
        <v>0.13390759756097553</v>
      </c>
      <c r="V321" s="139">
        <f>M321*F321*'Sac Parametreleri'!$B$6*G321</f>
        <v>0.74393109756097553</v>
      </c>
      <c r="W321" s="135" t="s">
        <v>1520</v>
      </c>
    </row>
    <row r="322" spans="1:23" ht="15" customHeight="1" x14ac:dyDescent="0.25">
      <c r="A322" s="135" t="s">
        <v>509</v>
      </c>
      <c r="B322" s="135">
        <v>1</v>
      </c>
      <c r="C322" s="135" t="s">
        <v>748</v>
      </c>
      <c r="D322" s="135" t="s">
        <v>749</v>
      </c>
      <c r="E322" s="135" t="s">
        <v>1552</v>
      </c>
      <c r="F322" s="135">
        <v>12</v>
      </c>
      <c r="G322" s="135">
        <v>1</v>
      </c>
      <c r="H322" s="135" t="s">
        <v>1765</v>
      </c>
      <c r="I322" s="178"/>
      <c r="J322" s="178"/>
      <c r="K322" s="179">
        <v>4.6932000000000001E-2</v>
      </c>
      <c r="L322" s="179">
        <v>0</v>
      </c>
      <c r="M322" s="180">
        <f>K322/(1-'Sac Parametreleri'!$B$29)</f>
        <v>5.9482889733840305E-2</v>
      </c>
      <c r="N322" s="180">
        <f t="shared" ref="N322:N385" si="24">MAX(M322-K322,0)</f>
        <v>1.2550889733840304E-2</v>
      </c>
      <c r="O322" s="138">
        <f t="shared" ref="O322:O385" si="25">IF(M322=0,0,N322/M322)</f>
        <v>0.21099999999999999</v>
      </c>
      <c r="P322" s="181">
        <f>IF(E322="Hardox 450",INDEX('Sac Parametreleri'!$G$11:$G$24,MATCH(F322,'Sac Parametreleri'!$A$11:$A$24,0)),INDEX('Sac Parametreleri'!$E$11:$E$24,MATCH(F322,'Sac Parametreleri'!$A$11:$A$24,0)))</f>
        <v>75.36</v>
      </c>
      <c r="Q322" s="181">
        <f>INDEX('Sac Parametreleri'!$F$11:$F$24,MATCH(F322,'Sac Parametreleri'!$A$11:$A$24,0))</f>
        <v>30.829090909090905</v>
      </c>
      <c r="R322" s="182">
        <f t="shared" ref="R322:R385" si="26">(K322+N322)*P322-N322*Q322</f>
        <v>4.0956980497476669</v>
      </c>
      <c r="S322" s="182">
        <f t="shared" ref="S322:S385" si="27">R322*G322</f>
        <v>4.0956980497476669</v>
      </c>
      <c r="T322" s="139">
        <f>K322*F322*'Sac Parametreleri'!$B$6*G322</f>
        <v>4.4209943999999997</v>
      </c>
      <c r="U322" s="139">
        <f>N322*F322*'Sac Parametreleri'!$B$6*G322</f>
        <v>1.1822938129277565</v>
      </c>
      <c r="V322" s="139">
        <f>M322*F322*'Sac Parametreleri'!$B$6*G322</f>
        <v>5.6032882129277564</v>
      </c>
      <c r="W322" s="135" t="s">
        <v>1520</v>
      </c>
    </row>
    <row r="323" spans="1:23" ht="15" customHeight="1" x14ac:dyDescent="0.25">
      <c r="A323" s="135" t="s">
        <v>509</v>
      </c>
      <c r="B323" s="135">
        <v>2</v>
      </c>
      <c r="C323" s="135" t="s">
        <v>1829</v>
      </c>
      <c r="D323" s="135" t="s">
        <v>749</v>
      </c>
      <c r="E323" s="135" t="s">
        <v>1552</v>
      </c>
      <c r="F323" s="135">
        <v>10</v>
      </c>
      <c r="G323" s="135">
        <v>2</v>
      </c>
      <c r="H323" s="135" t="s">
        <v>1742</v>
      </c>
      <c r="I323" s="178"/>
      <c r="J323" s="178"/>
      <c r="K323" s="179">
        <v>4.3179999999999998E-3</v>
      </c>
      <c r="L323" s="179">
        <v>0</v>
      </c>
      <c r="M323" s="180">
        <f>K323/(1-'Sac Parametreleri'!$B$27)</f>
        <v>5.2658536585365847E-3</v>
      </c>
      <c r="N323" s="180">
        <f t="shared" si="24"/>
        <v>9.4785365853658488E-4</v>
      </c>
      <c r="O323" s="138">
        <f t="shared" si="25"/>
        <v>0.17999999999999994</v>
      </c>
      <c r="P323" s="181">
        <f>IF(E323="Hardox 450",INDEX('Sac Parametreleri'!$G$11:$G$24,MATCH(F323,'Sac Parametreleri'!$A$11:$A$24,0)),INDEX('Sac Parametreleri'!$E$11:$E$24,MATCH(F323,'Sac Parametreleri'!$A$11:$A$24,0)))</f>
        <v>62.800000000000004</v>
      </c>
      <c r="Q323" s="181">
        <f>INDEX('Sac Parametreleri'!$F$11:$F$24,MATCH(F323,'Sac Parametreleri'!$A$11:$A$24,0))</f>
        <v>25.690909090909091</v>
      </c>
      <c r="R323" s="182">
        <f t="shared" si="26"/>
        <v>0.30634438758314853</v>
      </c>
      <c r="S323" s="182">
        <f t="shared" si="27"/>
        <v>0.61268877516629705</v>
      </c>
      <c r="T323" s="139">
        <f>K323*F323*'Sac Parametreleri'!$B$6*G323</f>
        <v>0.67792599999999992</v>
      </c>
      <c r="U323" s="139">
        <f>N323*F323*'Sac Parametreleri'!$B$6*G323</f>
        <v>0.14881302439024383</v>
      </c>
      <c r="V323" s="139">
        <f>M323*F323*'Sac Parametreleri'!$B$6*G323</f>
        <v>0.82673902439024372</v>
      </c>
      <c r="W323" s="135" t="s">
        <v>1520</v>
      </c>
    </row>
    <row r="324" spans="1:23" ht="15" customHeight="1" x14ac:dyDescent="0.25">
      <c r="A324" s="135" t="s">
        <v>588</v>
      </c>
      <c r="B324" s="135">
        <v>1</v>
      </c>
      <c r="C324" s="135" t="s">
        <v>963</v>
      </c>
      <c r="D324" s="135" t="s">
        <v>749</v>
      </c>
      <c r="E324" s="135" t="s">
        <v>1552</v>
      </c>
      <c r="F324" s="135">
        <v>5</v>
      </c>
      <c r="G324" s="135">
        <v>1</v>
      </c>
      <c r="H324" s="135" t="s">
        <v>1830</v>
      </c>
      <c r="I324" s="178"/>
      <c r="J324" s="178"/>
      <c r="K324" s="179">
        <v>0.126217</v>
      </c>
      <c r="L324" s="179">
        <v>0</v>
      </c>
      <c r="M324" s="180">
        <f>K324/(1-'Sac Parametreleri'!$B$29)</f>
        <v>0.15997084917617235</v>
      </c>
      <c r="N324" s="180">
        <f t="shared" si="24"/>
        <v>3.3753849176172357E-2</v>
      </c>
      <c r="O324" s="138">
        <f t="shared" si="25"/>
        <v>0.21099999999999994</v>
      </c>
      <c r="P324" s="181">
        <f>IF(E324="Hardox 450",INDEX('Sac Parametreleri'!$G$11:$G$24,MATCH(F324,'Sac Parametreleri'!$A$11:$A$24,0)),INDEX('Sac Parametreleri'!$E$11:$E$24,MATCH(F324,'Sac Parametreleri'!$A$11:$A$24,0)))</f>
        <v>31.400000000000002</v>
      </c>
      <c r="Q324" s="181">
        <f>INDEX('Sac Parametreleri'!$F$11:$F$24,MATCH(F324,'Sac Parametreleri'!$A$11:$A$24,0))</f>
        <v>12.845454545454546</v>
      </c>
      <c r="R324" s="182">
        <f t="shared" si="26"/>
        <v>4.5895011288051624</v>
      </c>
      <c r="S324" s="182">
        <f t="shared" si="27"/>
        <v>4.5895011288051624</v>
      </c>
      <c r="T324" s="139">
        <f>K324*F324*'Sac Parametreleri'!$B$6*G324</f>
        <v>4.9540172499999997</v>
      </c>
      <c r="U324" s="139">
        <f>N324*F324*'Sac Parametreleri'!$B$6*G324</f>
        <v>1.3248385801647649</v>
      </c>
      <c r="V324" s="139">
        <f>M324*F324*'Sac Parametreleri'!$B$6*G324</f>
        <v>6.2788558301647646</v>
      </c>
      <c r="W324" s="135" t="s">
        <v>1520</v>
      </c>
    </row>
    <row r="325" spans="1:23" ht="15" customHeight="1" x14ac:dyDescent="0.25">
      <c r="A325" s="135" t="s">
        <v>588</v>
      </c>
      <c r="B325" s="135">
        <v>2</v>
      </c>
      <c r="C325" s="135" t="s">
        <v>1831</v>
      </c>
      <c r="D325" s="135" t="s">
        <v>749</v>
      </c>
      <c r="E325" s="135" t="s">
        <v>1552</v>
      </c>
      <c r="F325" s="135">
        <v>5</v>
      </c>
      <c r="G325" s="135">
        <v>1</v>
      </c>
      <c r="H325" s="135" t="s">
        <v>1742</v>
      </c>
      <c r="I325" s="178"/>
      <c r="J325" s="178"/>
      <c r="K325" s="179">
        <v>4.0249999999999999E-3</v>
      </c>
      <c r="L325" s="179">
        <v>0</v>
      </c>
      <c r="M325" s="180">
        <f>K325/(1-'Sac Parametreleri'!$B$27)</f>
        <v>4.9085365853658528E-3</v>
      </c>
      <c r="N325" s="180">
        <f t="shared" si="24"/>
        <v>8.8353658536585288E-4</v>
      </c>
      <c r="O325" s="138">
        <f t="shared" si="25"/>
        <v>0.17999999999999988</v>
      </c>
      <c r="P325" s="181">
        <f>IF(E325="Hardox 450",INDEX('Sac Parametreleri'!$G$11:$G$24,MATCH(F325,'Sac Parametreleri'!$A$11:$A$24,0)),INDEX('Sac Parametreleri'!$E$11:$E$24,MATCH(F325,'Sac Parametreleri'!$A$11:$A$24,0)))</f>
        <v>31.400000000000002</v>
      </c>
      <c r="Q325" s="181">
        <f>INDEX('Sac Parametreleri'!$F$11:$F$24,MATCH(F325,'Sac Parametreleri'!$A$11:$A$24,0))</f>
        <v>12.845454545454546</v>
      </c>
      <c r="R325" s="182">
        <f t="shared" si="26"/>
        <v>0.14277861973392458</v>
      </c>
      <c r="S325" s="182">
        <f t="shared" si="27"/>
        <v>0.14277861973392458</v>
      </c>
      <c r="T325" s="139">
        <f>K325*F325*'Sac Parametreleri'!$B$6*G325</f>
        <v>0.15798124999999999</v>
      </c>
      <c r="U325" s="139">
        <f>N325*F325*'Sac Parametreleri'!$B$6*G325</f>
        <v>3.4678810975609722E-2</v>
      </c>
      <c r="V325" s="139">
        <f>M325*F325*'Sac Parametreleri'!$B$6*G325</f>
        <v>0.1926600609756097</v>
      </c>
      <c r="W325" s="135" t="s">
        <v>1520</v>
      </c>
    </row>
    <row r="326" spans="1:23" ht="15" customHeight="1" x14ac:dyDescent="0.25">
      <c r="A326" s="135" t="s">
        <v>589</v>
      </c>
      <c r="B326" s="135">
        <v>1</v>
      </c>
      <c r="C326" s="135" t="s">
        <v>964</v>
      </c>
      <c r="D326" s="135" t="s">
        <v>749</v>
      </c>
      <c r="E326" s="135" t="s">
        <v>1552</v>
      </c>
      <c r="F326" s="135">
        <v>5</v>
      </c>
      <c r="G326" s="135">
        <v>1</v>
      </c>
      <c r="H326" s="135" t="s">
        <v>1830</v>
      </c>
      <c r="I326" s="178"/>
      <c r="J326" s="178"/>
      <c r="K326" s="179">
        <v>0.126217</v>
      </c>
      <c r="L326" s="179">
        <v>0</v>
      </c>
      <c r="M326" s="180">
        <f>K326/(1-'Sac Parametreleri'!$B$29)</f>
        <v>0.15997084917617235</v>
      </c>
      <c r="N326" s="180">
        <f t="shared" si="24"/>
        <v>3.3753849176172357E-2</v>
      </c>
      <c r="O326" s="138">
        <f t="shared" si="25"/>
        <v>0.21099999999999994</v>
      </c>
      <c r="P326" s="181">
        <f>IF(E326="Hardox 450",INDEX('Sac Parametreleri'!$G$11:$G$24,MATCH(F326,'Sac Parametreleri'!$A$11:$A$24,0)),INDEX('Sac Parametreleri'!$E$11:$E$24,MATCH(F326,'Sac Parametreleri'!$A$11:$A$24,0)))</f>
        <v>31.400000000000002</v>
      </c>
      <c r="Q326" s="181">
        <f>INDEX('Sac Parametreleri'!$F$11:$F$24,MATCH(F326,'Sac Parametreleri'!$A$11:$A$24,0))</f>
        <v>12.845454545454546</v>
      </c>
      <c r="R326" s="182">
        <f t="shared" si="26"/>
        <v>4.5895011288051624</v>
      </c>
      <c r="S326" s="182">
        <f t="shared" si="27"/>
        <v>4.5895011288051624</v>
      </c>
      <c r="T326" s="139">
        <f>K326*F326*'Sac Parametreleri'!$B$6*G326</f>
        <v>4.9540172499999997</v>
      </c>
      <c r="U326" s="139">
        <f>N326*F326*'Sac Parametreleri'!$B$6*G326</f>
        <v>1.3248385801647649</v>
      </c>
      <c r="V326" s="139">
        <f>M326*F326*'Sac Parametreleri'!$B$6*G326</f>
        <v>6.2788558301647646</v>
      </c>
      <c r="W326" s="135" t="s">
        <v>1520</v>
      </c>
    </row>
    <row r="327" spans="1:23" ht="15" customHeight="1" x14ac:dyDescent="0.25">
      <c r="A327" s="135" t="s">
        <v>589</v>
      </c>
      <c r="B327" s="135">
        <v>2</v>
      </c>
      <c r="C327" s="135" t="s">
        <v>1831</v>
      </c>
      <c r="D327" s="135" t="s">
        <v>749</v>
      </c>
      <c r="E327" s="135" t="s">
        <v>1552</v>
      </c>
      <c r="F327" s="135">
        <v>5</v>
      </c>
      <c r="G327" s="135">
        <v>1</v>
      </c>
      <c r="H327" s="135" t="s">
        <v>1742</v>
      </c>
      <c r="I327" s="178"/>
      <c r="J327" s="178"/>
      <c r="K327" s="179">
        <v>4.0249999999999999E-3</v>
      </c>
      <c r="L327" s="179">
        <v>0</v>
      </c>
      <c r="M327" s="180">
        <f>K327/(1-'Sac Parametreleri'!$B$27)</f>
        <v>4.9085365853658528E-3</v>
      </c>
      <c r="N327" s="180">
        <f t="shared" si="24"/>
        <v>8.8353658536585288E-4</v>
      </c>
      <c r="O327" s="138">
        <f t="shared" si="25"/>
        <v>0.17999999999999988</v>
      </c>
      <c r="P327" s="181">
        <f>IF(E327="Hardox 450",INDEX('Sac Parametreleri'!$G$11:$G$24,MATCH(F327,'Sac Parametreleri'!$A$11:$A$24,0)),INDEX('Sac Parametreleri'!$E$11:$E$24,MATCH(F327,'Sac Parametreleri'!$A$11:$A$24,0)))</f>
        <v>31.400000000000002</v>
      </c>
      <c r="Q327" s="181">
        <f>INDEX('Sac Parametreleri'!$F$11:$F$24,MATCH(F327,'Sac Parametreleri'!$A$11:$A$24,0))</f>
        <v>12.845454545454546</v>
      </c>
      <c r="R327" s="182">
        <f t="shared" si="26"/>
        <v>0.14277861973392458</v>
      </c>
      <c r="S327" s="182">
        <f t="shared" si="27"/>
        <v>0.14277861973392458</v>
      </c>
      <c r="T327" s="139">
        <f>K327*F327*'Sac Parametreleri'!$B$6*G327</f>
        <v>0.15798124999999999</v>
      </c>
      <c r="U327" s="139">
        <f>N327*F327*'Sac Parametreleri'!$B$6*G327</f>
        <v>3.4678810975609722E-2</v>
      </c>
      <c r="V327" s="139">
        <f>M327*F327*'Sac Parametreleri'!$B$6*G327</f>
        <v>0.1926600609756097</v>
      </c>
      <c r="W327" s="135" t="s">
        <v>1520</v>
      </c>
    </row>
    <row r="328" spans="1:23" ht="15" customHeight="1" x14ac:dyDescent="0.25">
      <c r="A328" s="135" t="s">
        <v>538</v>
      </c>
      <c r="B328" s="135">
        <v>1</v>
      </c>
      <c r="C328" s="135" t="s">
        <v>887</v>
      </c>
      <c r="D328" s="135" t="s">
        <v>888</v>
      </c>
      <c r="E328" s="135" t="s">
        <v>1552</v>
      </c>
      <c r="F328" s="135">
        <v>12</v>
      </c>
      <c r="G328" s="135">
        <v>1</v>
      </c>
      <c r="H328" s="135" t="s">
        <v>1765</v>
      </c>
      <c r="I328" s="178"/>
      <c r="J328" s="178"/>
      <c r="K328" s="179">
        <v>4.4861999999999999E-2</v>
      </c>
      <c r="L328" s="179">
        <v>0</v>
      </c>
      <c r="M328" s="180">
        <f>K328/(1-'Sac Parametreleri'!$B$29)</f>
        <v>5.6859315589353608E-2</v>
      </c>
      <c r="N328" s="180">
        <f t="shared" si="24"/>
        <v>1.1997315589353609E-2</v>
      </c>
      <c r="O328" s="138">
        <f t="shared" si="25"/>
        <v>0.21099999999999997</v>
      </c>
      <c r="P328" s="181">
        <f>IF(E328="Hardox 450",INDEX('Sac Parametreleri'!$G$11:$G$24,MATCH(F328,'Sac Parametreleri'!$A$11:$A$24,0)),INDEX('Sac Parametreleri'!$E$11:$E$24,MATCH(F328,'Sac Parametreleri'!$A$11:$A$24,0)))</f>
        <v>75.36</v>
      </c>
      <c r="Q328" s="181">
        <f>INDEX('Sac Parametreleri'!$F$11:$F$24,MATCH(F328,'Sac Parametreleri'!$A$11:$A$24,0))</f>
        <v>30.829090909090905</v>
      </c>
      <c r="R328" s="182">
        <f t="shared" si="26"/>
        <v>3.9150516898444523</v>
      </c>
      <c r="S328" s="182">
        <f t="shared" si="27"/>
        <v>3.9150516898444523</v>
      </c>
      <c r="T328" s="139">
        <f>K328*F328*'Sac Parametreleri'!$B$6*G328</f>
        <v>4.2260003999999993</v>
      </c>
      <c r="U328" s="139">
        <f>N328*F328*'Sac Parametreleri'!$B$6*G328</f>
        <v>1.1301471285171099</v>
      </c>
      <c r="V328" s="139">
        <f>M328*F328*'Sac Parametreleri'!$B$6*G328</f>
        <v>5.3561475285171092</v>
      </c>
      <c r="W328" s="135" t="s">
        <v>1520</v>
      </c>
    </row>
    <row r="329" spans="1:23" ht="15" customHeight="1" x14ac:dyDescent="0.25">
      <c r="A329" s="135" t="s">
        <v>538</v>
      </c>
      <c r="B329" s="135">
        <v>2</v>
      </c>
      <c r="C329" s="135" t="s">
        <v>1832</v>
      </c>
      <c r="D329" s="135" t="s">
        <v>1833</v>
      </c>
      <c r="E329" s="135" t="s">
        <v>1552</v>
      </c>
      <c r="F329" s="135">
        <v>10</v>
      </c>
      <c r="G329" s="135">
        <v>2</v>
      </c>
      <c r="H329" s="135" t="s">
        <v>1742</v>
      </c>
      <c r="I329" s="178"/>
      <c r="J329" s="178"/>
      <c r="K329" s="179">
        <v>2.6879999999999999E-3</v>
      </c>
      <c r="L329" s="179">
        <v>0</v>
      </c>
      <c r="M329" s="180">
        <f>K329/(1-'Sac Parametreleri'!$B$27)</f>
        <v>3.2780487804878046E-3</v>
      </c>
      <c r="N329" s="180">
        <f t="shared" si="24"/>
        <v>5.9004878048780473E-4</v>
      </c>
      <c r="O329" s="138">
        <f t="shared" si="25"/>
        <v>0.17999999999999997</v>
      </c>
      <c r="P329" s="181">
        <f>IF(E329="Hardox 450",INDEX('Sac Parametreleri'!$G$11:$G$24,MATCH(F329,'Sac Parametreleri'!$A$11:$A$24,0)),INDEX('Sac Parametreleri'!$E$11:$E$24,MATCH(F329,'Sac Parametreleri'!$A$11:$A$24,0)))</f>
        <v>62.800000000000004</v>
      </c>
      <c r="Q329" s="181">
        <f>INDEX('Sac Parametreleri'!$F$11:$F$24,MATCH(F329,'Sac Parametreleri'!$A$11:$A$24,0))</f>
        <v>25.690909090909091</v>
      </c>
      <c r="R329" s="182">
        <f t="shared" si="26"/>
        <v>0.19070257383592018</v>
      </c>
      <c r="S329" s="182">
        <f t="shared" si="27"/>
        <v>0.38140514767184036</v>
      </c>
      <c r="T329" s="139">
        <f>K329*F329*'Sac Parametreleri'!$B$6*G329</f>
        <v>0.42201599999999995</v>
      </c>
      <c r="U329" s="139">
        <f>N329*F329*'Sac Parametreleri'!$B$6*G329</f>
        <v>9.2637658536585343E-2</v>
      </c>
      <c r="V329" s="139">
        <f>M329*F329*'Sac Parametreleri'!$B$6*G329</f>
        <v>0.51465365853658529</v>
      </c>
      <c r="W329" s="135" t="s">
        <v>1520</v>
      </c>
    </row>
    <row r="330" spans="1:23" ht="15" customHeight="1" x14ac:dyDescent="0.25">
      <c r="A330" s="135" t="s">
        <v>484</v>
      </c>
      <c r="B330" s="135">
        <v>1</v>
      </c>
      <c r="C330" s="135" t="s">
        <v>733</v>
      </c>
      <c r="D330" s="135" t="s">
        <v>734</v>
      </c>
      <c r="E330" s="135" t="s">
        <v>1552</v>
      </c>
      <c r="F330" s="135">
        <v>12</v>
      </c>
      <c r="G330" s="135">
        <v>1</v>
      </c>
      <c r="H330" s="135" t="s">
        <v>1765</v>
      </c>
      <c r="I330" s="178"/>
      <c r="J330" s="178"/>
      <c r="K330" s="179">
        <v>4.4628000000000001E-2</v>
      </c>
      <c r="L330" s="179">
        <v>0</v>
      </c>
      <c r="M330" s="180">
        <f>K330/(1-'Sac Parametreleri'!$B$29)</f>
        <v>5.6562737642585549E-2</v>
      </c>
      <c r="N330" s="180">
        <f t="shared" si="24"/>
        <v>1.1934737642585548E-2</v>
      </c>
      <c r="O330" s="138">
        <f t="shared" si="25"/>
        <v>0.21099999999999994</v>
      </c>
      <c r="P330" s="181">
        <f>IF(E330="Hardox 450",INDEX('Sac Parametreleri'!$G$11:$G$24,MATCH(F330,'Sac Parametreleri'!$A$11:$A$24,0)),INDEX('Sac Parametreleri'!$E$11:$E$24,MATCH(F330,'Sac Parametreleri'!$A$11:$A$24,0)))</f>
        <v>75.36</v>
      </c>
      <c r="Q330" s="181">
        <f>INDEX('Sac Parametreleri'!$F$11:$F$24,MATCH(F330,'Sac Parametreleri'!$A$11:$A$24,0))</f>
        <v>30.829090909090905</v>
      </c>
      <c r="R330" s="182">
        <f t="shared" si="26"/>
        <v>3.8946307969858278</v>
      </c>
      <c r="S330" s="182">
        <f t="shared" si="27"/>
        <v>3.8946307969858278</v>
      </c>
      <c r="T330" s="139">
        <f>K330*F330*'Sac Parametreleri'!$B$6*G330</f>
        <v>4.2039575999999999</v>
      </c>
      <c r="U330" s="139">
        <f>N330*F330*'Sac Parametreleri'!$B$6*G330</f>
        <v>1.1242522859315587</v>
      </c>
      <c r="V330" s="139">
        <f>M330*F330*'Sac Parametreleri'!$B$6*G330</f>
        <v>5.3282098859315585</v>
      </c>
      <c r="W330" s="135" t="s">
        <v>1520</v>
      </c>
    </row>
    <row r="331" spans="1:23" ht="15" customHeight="1" x14ac:dyDescent="0.25">
      <c r="A331" s="135" t="s">
        <v>484</v>
      </c>
      <c r="B331" s="135">
        <v>2</v>
      </c>
      <c r="C331" s="135" t="s">
        <v>1834</v>
      </c>
      <c r="D331" s="135" t="s">
        <v>1835</v>
      </c>
      <c r="E331" s="135" t="s">
        <v>1552</v>
      </c>
      <c r="F331" s="135">
        <v>12</v>
      </c>
      <c r="G331" s="135">
        <v>2</v>
      </c>
      <c r="H331" s="135" t="s">
        <v>1742</v>
      </c>
      <c r="I331" s="178"/>
      <c r="J331" s="178"/>
      <c r="K331" s="179">
        <v>1.9E-3</v>
      </c>
      <c r="L331" s="179">
        <v>0</v>
      </c>
      <c r="M331" s="180">
        <f>K331/(1-'Sac Parametreleri'!$B$27)</f>
        <v>2.3170731707317072E-3</v>
      </c>
      <c r="N331" s="180">
        <f t="shared" si="24"/>
        <v>4.1707317073170721E-4</v>
      </c>
      <c r="O331" s="138">
        <f t="shared" si="25"/>
        <v>0.17999999999999997</v>
      </c>
      <c r="P331" s="181">
        <f>IF(E331="Hardox 450",INDEX('Sac Parametreleri'!$G$11:$G$24,MATCH(F331,'Sac Parametreleri'!$A$11:$A$24,0)),INDEX('Sac Parametreleri'!$E$11:$E$24,MATCH(F331,'Sac Parametreleri'!$A$11:$A$24,0)))</f>
        <v>75.36</v>
      </c>
      <c r="Q331" s="181">
        <f>INDEX('Sac Parametreleri'!$F$11:$F$24,MATCH(F331,'Sac Parametreleri'!$A$11:$A$24,0))</f>
        <v>30.829090909090905</v>
      </c>
      <c r="R331" s="182">
        <f t="shared" si="26"/>
        <v>0.16175664745011087</v>
      </c>
      <c r="S331" s="182">
        <f t="shared" si="27"/>
        <v>0.32351329490022174</v>
      </c>
      <c r="T331" s="139">
        <f>K331*F331*'Sac Parametreleri'!$B$6*G331</f>
        <v>0.35796</v>
      </c>
      <c r="U331" s="139">
        <f>N331*F331*'Sac Parametreleri'!$B$6*G331</f>
        <v>7.857658536585363E-2</v>
      </c>
      <c r="V331" s="139">
        <f>M331*F331*'Sac Parametreleri'!$B$6*G331</f>
        <v>0.4365365853658536</v>
      </c>
      <c r="W331" s="135" t="s">
        <v>1520</v>
      </c>
    </row>
    <row r="332" spans="1:23" ht="15" customHeight="1" x14ac:dyDescent="0.25">
      <c r="A332" s="135" t="s">
        <v>471</v>
      </c>
      <c r="B332" s="135">
        <v>1</v>
      </c>
      <c r="C332" s="135" t="s">
        <v>992</v>
      </c>
      <c r="D332" s="135" t="s">
        <v>993</v>
      </c>
      <c r="E332" s="135" t="s">
        <v>1552</v>
      </c>
      <c r="F332" s="135">
        <v>10</v>
      </c>
      <c r="G332" s="135">
        <v>1</v>
      </c>
      <c r="H332" s="135" t="s">
        <v>1746</v>
      </c>
      <c r="I332" s="178"/>
      <c r="J332" s="178"/>
      <c r="K332" s="179">
        <v>2.4981E-2</v>
      </c>
      <c r="L332" s="179">
        <v>0</v>
      </c>
      <c r="M332" s="180">
        <f>K332/(1-'Sac Parametreleri'!$B$29)</f>
        <v>3.1661596958174901E-2</v>
      </c>
      <c r="N332" s="180">
        <f t="shared" si="24"/>
        <v>6.680596958174901E-3</v>
      </c>
      <c r="O332" s="138">
        <f t="shared" si="25"/>
        <v>0.21099999999999991</v>
      </c>
      <c r="P332" s="181">
        <f>IF(E332="Hardox 450",INDEX('Sac Parametreleri'!$G$11:$G$24,MATCH(F332,'Sac Parametreleri'!$A$11:$A$24,0)),INDEX('Sac Parametreleri'!$E$11:$E$24,MATCH(F332,'Sac Parametreleri'!$A$11:$A$24,0)))</f>
        <v>62.800000000000004</v>
      </c>
      <c r="Q332" s="181">
        <f>INDEX('Sac Parametreleri'!$F$11:$F$24,MATCH(F332,'Sac Parametreleri'!$A$11:$A$24,0))</f>
        <v>25.690909090909091</v>
      </c>
      <c r="R332" s="182">
        <f t="shared" si="26"/>
        <v>1.8167176798479088</v>
      </c>
      <c r="S332" s="182">
        <f t="shared" si="27"/>
        <v>1.8167176798479088</v>
      </c>
      <c r="T332" s="139">
        <f>K332*F332*'Sac Parametreleri'!$B$6*G332</f>
        <v>1.9610084999999999</v>
      </c>
      <c r="U332" s="139">
        <f>N332*F332*'Sac Parametreleri'!$B$6*G332</f>
        <v>0.52442686121672966</v>
      </c>
      <c r="V332" s="139">
        <f>M332*F332*'Sac Parametreleri'!$B$6*G332</f>
        <v>2.4854353612167293</v>
      </c>
      <c r="W332" s="135" t="s">
        <v>1520</v>
      </c>
    </row>
    <row r="333" spans="1:23" ht="15" customHeight="1" x14ac:dyDescent="0.25">
      <c r="A333" s="135" t="s">
        <v>471</v>
      </c>
      <c r="B333" s="135">
        <v>2</v>
      </c>
      <c r="C333" s="135" t="s">
        <v>994</v>
      </c>
      <c r="D333" s="135" t="s">
        <v>995</v>
      </c>
      <c r="E333" s="135" t="s">
        <v>1552</v>
      </c>
      <c r="F333" s="135">
        <v>10</v>
      </c>
      <c r="G333" s="135">
        <v>1</v>
      </c>
      <c r="H333" s="135" t="s">
        <v>1746</v>
      </c>
      <c r="I333" s="178"/>
      <c r="J333" s="178"/>
      <c r="K333" s="179">
        <v>2.5031999999999999E-2</v>
      </c>
      <c r="L333" s="179">
        <v>0</v>
      </c>
      <c r="M333" s="180">
        <f>K333/(1-'Sac Parametreleri'!$B$29)</f>
        <v>3.1726235741444862E-2</v>
      </c>
      <c r="N333" s="180">
        <f t="shared" si="24"/>
        <v>6.6942357414448636E-3</v>
      </c>
      <c r="O333" s="138">
        <f t="shared" si="25"/>
        <v>0.21099999999999994</v>
      </c>
      <c r="P333" s="181">
        <f>IF(E333="Hardox 450",INDEX('Sac Parametreleri'!$G$11:$G$24,MATCH(F333,'Sac Parametreleri'!$A$11:$A$24,0)),INDEX('Sac Parametreleri'!$E$11:$E$24,MATCH(F333,'Sac Parametreleri'!$A$11:$A$24,0)))</f>
        <v>62.800000000000004</v>
      </c>
      <c r="Q333" s="181">
        <f>INDEX('Sac Parametreleri'!$F$11:$F$24,MATCH(F333,'Sac Parametreleri'!$A$11:$A$24,0))</f>
        <v>25.690909090909091</v>
      </c>
      <c r="R333" s="182">
        <f t="shared" si="26"/>
        <v>1.8204266026961631</v>
      </c>
      <c r="S333" s="182">
        <f t="shared" si="27"/>
        <v>1.8204266026961631</v>
      </c>
      <c r="T333" s="139">
        <f>K333*F333*'Sac Parametreleri'!$B$6*G333</f>
        <v>1.9650119999999998</v>
      </c>
      <c r="U333" s="139">
        <f>N333*F333*'Sac Parametreleri'!$B$6*G333</f>
        <v>0.5254975057034218</v>
      </c>
      <c r="V333" s="139">
        <f>M333*F333*'Sac Parametreleri'!$B$6*G333</f>
        <v>2.4905095057034217</v>
      </c>
      <c r="W333" s="135" t="s">
        <v>1520</v>
      </c>
    </row>
    <row r="334" spans="1:23" ht="15" customHeight="1" x14ac:dyDescent="0.25">
      <c r="A334" s="135" t="s">
        <v>471</v>
      </c>
      <c r="B334" s="135">
        <v>3</v>
      </c>
      <c r="C334" s="135" t="s">
        <v>1836</v>
      </c>
      <c r="D334" s="135" t="s">
        <v>1837</v>
      </c>
      <c r="E334" s="135" t="s">
        <v>1552</v>
      </c>
      <c r="F334" s="135">
        <v>10</v>
      </c>
      <c r="G334" s="135">
        <v>1</v>
      </c>
      <c r="H334" s="135" t="s">
        <v>1742</v>
      </c>
      <c r="I334" s="178"/>
      <c r="J334" s="178"/>
      <c r="K334" s="179">
        <v>8.9680000000000003E-3</v>
      </c>
      <c r="L334" s="179">
        <v>0</v>
      </c>
      <c r="M334" s="180">
        <f>K334/(1-'Sac Parametreleri'!$B$27)</f>
        <v>1.0936585365853659E-2</v>
      </c>
      <c r="N334" s="180">
        <f t="shared" si="24"/>
        <v>1.9685853658536583E-3</v>
      </c>
      <c r="O334" s="138">
        <f t="shared" si="25"/>
        <v>0.17999999999999997</v>
      </c>
      <c r="P334" s="181">
        <f>IF(E334="Hardox 450",INDEX('Sac Parametreleri'!$G$11:$G$24,MATCH(F334,'Sac Parametreleri'!$A$11:$A$24,0)),INDEX('Sac Parametreleri'!$E$11:$E$24,MATCH(F334,'Sac Parametreleri'!$A$11:$A$24,0)))</f>
        <v>62.800000000000004</v>
      </c>
      <c r="Q334" s="181">
        <f>INDEX('Sac Parametreleri'!$F$11:$F$24,MATCH(F334,'Sac Parametreleri'!$A$11:$A$24,0))</f>
        <v>25.690909090909091</v>
      </c>
      <c r="R334" s="182">
        <f t="shared" si="26"/>
        <v>0.63624281330376942</v>
      </c>
      <c r="S334" s="182">
        <f t="shared" si="27"/>
        <v>0.63624281330376942</v>
      </c>
      <c r="T334" s="139">
        <f>K334*F334*'Sac Parametreleri'!$B$6*G334</f>
        <v>0.70398800000000006</v>
      </c>
      <c r="U334" s="139">
        <f>N334*F334*'Sac Parametreleri'!$B$6*G334</f>
        <v>0.15453395121951216</v>
      </c>
      <c r="V334" s="139">
        <f>M334*F334*'Sac Parametreleri'!$B$6*G334</f>
        <v>0.85852195121951214</v>
      </c>
      <c r="W334" s="135" t="s">
        <v>1520</v>
      </c>
    </row>
    <row r="335" spans="1:23" ht="15" customHeight="1" x14ac:dyDescent="0.25">
      <c r="A335" s="135" t="s">
        <v>586</v>
      </c>
      <c r="B335" s="135">
        <v>1</v>
      </c>
      <c r="C335" s="135" t="s">
        <v>1836</v>
      </c>
      <c r="D335" s="135" t="s">
        <v>1837</v>
      </c>
      <c r="E335" s="135" t="s">
        <v>1552</v>
      </c>
      <c r="F335" s="135">
        <v>10</v>
      </c>
      <c r="G335" s="135">
        <v>1</v>
      </c>
      <c r="H335" s="135" t="s">
        <v>1742</v>
      </c>
      <c r="I335" s="178"/>
      <c r="J335" s="178"/>
      <c r="K335" s="179">
        <v>8.9169999999999996E-3</v>
      </c>
      <c r="L335" s="179">
        <v>0</v>
      </c>
      <c r="M335" s="180">
        <f>K335/(1-'Sac Parametreleri'!$B$27)</f>
        <v>1.0874390243902438E-2</v>
      </c>
      <c r="N335" s="180">
        <f t="shared" si="24"/>
        <v>1.957390243902438E-3</v>
      </c>
      <c r="O335" s="138">
        <f t="shared" si="25"/>
        <v>0.17999999999999994</v>
      </c>
      <c r="P335" s="181">
        <f>IF(E335="Hardox 450",INDEX('Sac Parametreleri'!$G$11:$G$24,MATCH(F335,'Sac Parametreleri'!$A$11:$A$24,0)),INDEX('Sac Parametreleri'!$E$11:$E$24,MATCH(F335,'Sac Parametreleri'!$A$11:$A$24,0)))</f>
        <v>62.800000000000004</v>
      </c>
      <c r="Q335" s="181">
        <f>INDEX('Sac Parametreleri'!$F$11:$F$24,MATCH(F335,'Sac Parametreleri'!$A$11:$A$24,0))</f>
        <v>25.690909090909091</v>
      </c>
      <c r="R335" s="182">
        <f t="shared" si="26"/>
        <v>0.63262457250554327</v>
      </c>
      <c r="S335" s="182">
        <f t="shared" si="27"/>
        <v>0.63262457250554327</v>
      </c>
      <c r="T335" s="139">
        <f>K335*F335*'Sac Parametreleri'!$B$6*G335</f>
        <v>0.69998450000000001</v>
      </c>
      <c r="U335" s="139">
        <f>N335*F335*'Sac Parametreleri'!$B$6*G335</f>
        <v>0.15365513414634138</v>
      </c>
      <c r="V335" s="139">
        <f>M335*F335*'Sac Parametreleri'!$B$6*G335</f>
        <v>0.85363963414634136</v>
      </c>
      <c r="W335" s="135" t="s">
        <v>1520</v>
      </c>
    </row>
    <row r="336" spans="1:23" ht="15" customHeight="1" x14ac:dyDescent="0.25">
      <c r="A336" s="135" t="s">
        <v>586</v>
      </c>
      <c r="B336" s="135">
        <v>2</v>
      </c>
      <c r="C336" s="135" t="s">
        <v>1838</v>
      </c>
      <c r="D336" s="135" t="s">
        <v>1839</v>
      </c>
      <c r="E336" s="135" t="s">
        <v>1552</v>
      </c>
      <c r="F336" s="135">
        <v>10</v>
      </c>
      <c r="G336" s="135">
        <v>1</v>
      </c>
      <c r="H336" s="135" t="s">
        <v>1742</v>
      </c>
      <c r="I336" s="178"/>
      <c r="J336" s="178"/>
      <c r="K336" s="179">
        <v>2.4636999999999999E-2</v>
      </c>
      <c r="L336" s="179">
        <v>0</v>
      </c>
      <c r="M336" s="180">
        <f>K336/(1-'Sac Parametreleri'!$B$27)</f>
        <v>3.004512195121951E-2</v>
      </c>
      <c r="N336" s="180">
        <f t="shared" si="24"/>
        <v>5.4081219512195113E-3</v>
      </c>
      <c r="O336" s="138">
        <f t="shared" si="25"/>
        <v>0.17999999999999997</v>
      </c>
      <c r="P336" s="181">
        <f>IF(E336="Hardox 450",INDEX('Sac Parametreleri'!$G$11:$G$24,MATCH(F336,'Sac Parametreleri'!$A$11:$A$24,0)),INDEX('Sac Parametreleri'!$E$11:$E$24,MATCH(F336,'Sac Parametreleri'!$A$11:$A$24,0)))</f>
        <v>62.800000000000004</v>
      </c>
      <c r="Q336" s="181">
        <f>INDEX('Sac Parametreleri'!$F$11:$F$24,MATCH(F336,'Sac Parametreleri'!$A$11:$A$24,0))</f>
        <v>25.690909090909091</v>
      </c>
      <c r="R336" s="182">
        <f t="shared" si="26"/>
        <v>1.7478940891352552</v>
      </c>
      <c r="S336" s="182">
        <f t="shared" si="27"/>
        <v>1.7478940891352552</v>
      </c>
      <c r="T336" s="139">
        <f>K336*F336*'Sac Parametreleri'!$B$6*G336</f>
        <v>1.9340044999999997</v>
      </c>
      <c r="U336" s="139">
        <f>N336*F336*'Sac Parametreleri'!$B$6*G336</f>
        <v>0.4245375731707316</v>
      </c>
      <c r="V336" s="139">
        <f>M336*F336*'Sac Parametreleri'!$B$6*G336</f>
        <v>2.3585420731707316</v>
      </c>
      <c r="W336" s="135" t="s">
        <v>1520</v>
      </c>
    </row>
    <row r="337" spans="1:23" ht="15" customHeight="1" x14ac:dyDescent="0.25">
      <c r="A337" s="135" t="s">
        <v>586</v>
      </c>
      <c r="B337" s="135">
        <v>3</v>
      </c>
      <c r="C337" s="135" t="s">
        <v>1840</v>
      </c>
      <c r="D337" s="135" t="s">
        <v>1841</v>
      </c>
      <c r="E337" s="135" t="s">
        <v>1552</v>
      </c>
      <c r="F337" s="135">
        <v>10</v>
      </c>
      <c r="G337" s="135">
        <v>1</v>
      </c>
      <c r="H337" s="135" t="s">
        <v>1742</v>
      </c>
      <c r="I337" s="178"/>
      <c r="J337" s="178"/>
      <c r="K337" s="179">
        <v>2.4688000000000002E-2</v>
      </c>
      <c r="L337" s="179">
        <v>0</v>
      </c>
      <c r="M337" s="180">
        <f>K337/(1-'Sac Parametreleri'!$B$27)</f>
        <v>3.0107317073170731E-2</v>
      </c>
      <c r="N337" s="180">
        <f t="shared" si="24"/>
        <v>5.4193170731707298E-3</v>
      </c>
      <c r="O337" s="138">
        <f t="shared" si="25"/>
        <v>0.17999999999999994</v>
      </c>
      <c r="P337" s="181">
        <f>IF(E337="Hardox 450",INDEX('Sac Parametreleri'!$G$11:$G$24,MATCH(F337,'Sac Parametreleri'!$A$11:$A$24,0)),INDEX('Sac Parametreleri'!$E$11:$E$24,MATCH(F337,'Sac Parametreleri'!$A$11:$A$24,0)))</f>
        <v>62.800000000000004</v>
      </c>
      <c r="Q337" s="181">
        <f>INDEX('Sac Parametreleri'!$F$11:$F$24,MATCH(F337,'Sac Parametreleri'!$A$11:$A$24,0))</f>
        <v>25.690909090909091</v>
      </c>
      <c r="R337" s="182">
        <f t="shared" si="26"/>
        <v>1.7515123299334814</v>
      </c>
      <c r="S337" s="182">
        <f t="shared" si="27"/>
        <v>1.7515123299334814</v>
      </c>
      <c r="T337" s="139">
        <f>K337*F337*'Sac Parametreleri'!$B$6*G337</f>
        <v>1.938008</v>
      </c>
      <c r="U337" s="139">
        <f>N337*F337*'Sac Parametreleri'!$B$6*G337</f>
        <v>0.42541639024390226</v>
      </c>
      <c r="V337" s="139">
        <f>M337*F337*'Sac Parametreleri'!$B$6*G337</f>
        <v>2.3634243902439023</v>
      </c>
      <c r="W337" s="135" t="s">
        <v>1520</v>
      </c>
    </row>
    <row r="338" spans="1:23" ht="15" customHeight="1" x14ac:dyDescent="0.25">
      <c r="A338" s="135" t="s">
        <v>584</v>
      </c>
      <c r="B338" s="135">
        <v>1</v>
      </c>
      <c r="C338" s="135" t="s">
        <v>1842</v>
      </c>
      <c r="D338" s="135" t="s">
        <v>1843</v>
      </c>
      <c r="E338" s="135" t="s">
        <v>1552</v>
      </c>
      <c r="F338" s="135">
        <v>10</v>
      </c>
      <c r="G338" s="135">
        <v>1</v>
      </c>
      <c r="H338" s="135" t="s">
        <v>1742</v>
      </c>
      <c r="I338" s="178"/>
      <c r="J338" s="178"/>
      <c r="K338" s="179">
        <v>9.9489999999999995E-3</v>
      </c>
      <c r="L338" s="179">
        <v>0</v>
      </c>
      <c r="M338" s="180">
        <f>K338/(1-'Sac Parametreleri'!$B$27)</f>
        <v>1.2132926829268292E-2</v>
      </c>
      <c r="N338" s="180">
        <f t="shared" si="24"/>
        <v>2.1839268292682922E-3</v>
      </c>
      <c r="O338" s="138">
        <f t="shared" si="25"/>
        <v>0.17999999999999997</v>
      </c>
      <c r="P338" s="181">
        <f>IF(E338="Hardox 450",INDEX('Sac Parametreleri'!$G$11:$G$24,MATCH(F338,'Sac Parametreleri'!$A$11:$A$24,0)),INDEX('Sac Parametreleri'!$E$11:$E$24,MATCH(F338,'Sac Parametreleri'!$A$11:$A$24,0)))</f>
        <v>62.800000000000004</v>
      </c>
      <c r="Q338" s="181">
        <f>INDEX('Sac Parametreleri'!$F$11:$F$24,MATCH(F338,'Sac Parametreleri'!$A$11:$A$24,0))</f>
        <v>25.690909090909091</v>
      </c>
      <c r="R338" s="182">
        <f t="shared" si="26"/>
        <v>0.70584073924611979</v>
      </c>
      <c r="S338" s="182">
        <f t="shared" si="27"/>
        <v>0.70584073924611979</v>
      </c>
      <c r="T338" s="139">
        <f>K338*F338*'Sac Parametreleri'!$B$6*G338</f>
        <v>0.78099649999999987</v>
      </c>
      <c r="U338" s="139">
        <f>N338*F338*'Sac Parametreleri'!$B$6*G338</f>
        <v>0.17143825609756091</v>
      </c>
      <c r="V338" s="139">
        <f>M338*F338*'Sac Parametreleri'!$B$6*G338</f>
        <v>0.9524347560975609</v>
      </c>
      <c r="W338" s="135" t="s">
        <v>1520</v>
      </c>
    </row>
    <row r="339" spans="1:23" ht="15" customHeight="1" x14ac:dyDescent="0.25">
      <c r="A339" s="135" t="s">
        <v>584</v>
      </c>
      <c r="B339" s="135">
        <v>2</v>
      </c>
      <c r="C339" s="135" t="s">
        <v>1844</v>
      </c>
      <c r="D339" s="135" t="s">
        <v>1845</v>
      </c>
      <c r="E339" s="135" t="s">
        <v>1552</v>
      </c>
      <c r="F339" s="135">
        <v>10</v>
      </c>
      <c r="G339" s="135">
        <v>1</v>
      </c>
      <c r="H339" s="135" t="s">
        <v>1742</v>
      </c>
      <c r="I339" s="178"/>
      <c r="J339" s="178"/>
      <c r="K339" s="179">
        <v>6.535E-3</v>
      </c>
      <c r="L339" s="179">
        <v>0</v>
      </c>
      <c r="M339" s="180">
        <f>K339/(1-'Sac Parametreleri'!$B$27)</f>
        <v>7.9695121951219514E-3</v>
      </c>
      <c r="N339" s="180">
        <f t="shared" si="24"/>
        <v>1.4345121951219513E-3</v>
      </c>
      <c r="O339" s="138">
        <f t="shared" si="25"/>
        <v>0.18000000000000002</v>
      </c>
      <c r="P339" s="181">
        <f>IF(E339="Hardox 450",INDEX('Sac Parametreleri'!$G$11:$G$24,MATCH(F339,'Sac Parametreleri'!$A$11:$A$24,0)),INDEX('Sac Parametreleri'!$E$11:$E$24,MATCH(F339,'Sac Parametreleri'!$A$11:$A$24,0)))</f>
        <v>62.800000000000004</v>
      </c>
      <c r="Q339" s="181">
        <f>INDEX('Sac Parametreleri'!$F$11:$F$24,MATCH(F339,'Sac Parametreleri'!$A$11:$A$24,0))</f>
        <v>25.690909090909091</v>
      </c>
      <c r="R339" s="182">
        <f t="shared" si="26"/>
        <v>0.46363144345898005</v>
      </c>
      <c r="S339" s="182">
        <f t="shared" si="27"/>
        <v>0.46363144345898005</v>
      </c>
      <c r="T339" s="139">
        <f>K339*F339*'Sac Parametreleri'!$B$6*G339</f>
        <v>0.5129975</v>
      </c>
      <c r="U339" s="139">
        <f>N339*F339*'Sac Parametreleri'!$B$6*G339</f>
        <v>0.11260920731707318</v>
      </c>
      <c r="V339" s="139">
        <f>M339*F339*'Sac Parametreleri'!$B$6*G339</f>
        <v>0.62560670731707313</v>
      </c>
      <c r="W339" s="135" t="s">
        <v>1520</v>
      </c>
    </row>
    <row r="340" spans="1:23" ht="15" customHeight="1" x14ac:dyDescent="0.25">
      <c r="A340" s="135" t="s">
        <v>584</v>
      </c>
      <c r="B340" s="135">
        <v>3</v>
      </c>
      <c r="C340" s="135" t="s">
        <v>1846</v>
      </c>
      <c r="D340" s="135" t="s">
        <v>1847</v>
      </c>
      <c r="E340" s="135" t="s">
        <v>1552</v>
      </c>
      <c r="F340" s="135">
        <v>5</v>
      </c>
      <c r="G340" s="135">
        <v>2</v>
      </c>
      <c r="H340" s="135" t="s">
        <v>1742</v>
      </c>
      <c r="I340" s="178"/>
      <c r="J340" s="178"/>
      <c r="K340" s="179">
        <v>1.8339999999999999E-3</v>
      </c>
      <c r="L340" s="179">
        <v>0</v>
      </c>
      <c r="M340" s="180">
        <f>K340/(1-'Sac Parametreleri'!$B$27)</f>
        <v>2.2365853658536583E-3</v>
      </c>
      <c r="N340" s="180">
        <f t="shared" si="24"/>
        <v>4.0258536585365836E-4</v>
      </c>
      <c r="O340" s="138">
        <f t="shared" si="25"/>
        <v>0.17999999999999994</v>
      </c>
      <c r="P340" s="181">
        <f>IF(E340="Hardox 450",INDEX('Sac Parametreleri'!$G$11:$G$24,MATCH(F340,'Sac Parametreleri'!$A$11:$A$24,0)),INDEX('Sac Parametreleri'!$E$11:$E$24,MATCH(F340,'Sac Parametreleri'!$A$11:$A$24,0)))</f>
        <v>31.400000000000002</v>
      </c>
      <c r="Q340" s="181">
        <f>INDEX('Sac Parametreleri'!$F$11:$F$24,MATCH(F340,'Sac Parametreleri'!$A$11:$A$24,0))</f>
        <v>12.845454545454546</v>
      </c>
      <c r="R340" s="182">
        <f t="shared" si="26"/>
        <v>6.5057388470066507E-2</v>
      </c>
      <c r="S340" s="182">
        <f t="shared" si="27"/>
        <v>0.13011477694013301</v>
      </c>
      <c r="T340" s="139">
        <f>K340*F340*'Sac Parametreleri'!$B$6*G340</f>
        <v>0.14396899999999999</v>
      </c>
      <c r="U340" s="139">
        <f>N340*F340*'Sac Parametreleri'!$B$6*G340</f>
        <v>3.1602951219512183E-2</v>
      </c>
      <c r="V340" s="139">
        <f>M340*F340*'Sac Parametreleri'!$B$6*G340</f>
        <v>0.17557195121951219</v>
      </c>
      <c r="W340" s="135" t="s">
        <v>1520</v>
      </c>
    </row>
    <row r="341" spans="1:23" ht="15" customHeight="1" x14ac:dyDescent="0.25">
      <c r="A341" s="135" t="s">
        <v>584</v>
      </c>
      <c r="B341" s="135">
        <v>5</v>
      </c>
      <c r="C341" s="135" t="s">
        <v>1848</v>
      </c>
      <c r="D341" s="135" t="s">
        <v>1849</v>
      </c>
      <c r="E341" s="135" t="s">
        <v>1552</v>
      </c>
      <c r="F341" s="135">
        <v>5</v>
      </c>
      <c r="G341" s="135">
        <v>1</v>
      </c>
      <c r="H341" s="135" t="s">
        <v>1742</v>
      </c>
      <c r="I341" s="178"/>
      <c r="J341" s="178"/>
      <c r="K341" s="179">
        <v>7.4139999999999996E-3</v>
      </c>
      <c r="L341" s="179">
        <v>0</v>
      </c>
      <c r="M341" s="180">
        <f>K341/(1-'Sac Parametreleri'!$B$27)</f>
        <v>9.0414634146341443E-3</v>
      </c>
      <c r="N341" s="180">
        <f t="shared" si="24"/>
        <v>1.6274634146341447E-3</v>
      </c>
      <c r="O341" s="138">
        <f t="shared" si="25"/>
        <v>0.17999999999999985</v>
      </c>
      <c r="P341" s="181">
        <f>IF(E341="Hardox 450",INDEX('Sac Parametreleri'!$G$11:$G$24,MATCH(F341,'Sac Parametreleri'!$A$11:$A$24,0)),INDEX('Sac Parametreleri'!$E$11:$E$24,MATCH(F341,'Sac Parametreleri'!$A$11:$A$24,0)))</f>
        <v>31.400000000000002</v>
      </c>
      <c r="Q341" s="181">
        <f>INDEX('Sac Parametreleri'!$F$11:$F$24,MATCH(F341,'Sac Parametreleri'!$A$11:$A$24,0))</f>
        <v>12.845454545454546</v>
      </c>
      <c r="R341" s="182">
        <f t="shared" si="26"/>
        <v>0.26299644390243904</v>
      </c>
      <c r="S341" s="182">
        <f t="shared" si="27"/>
        <v>0.26299644390243904</v>
      </c>
      <c r="T341" s="139">
        <f>K341*F341*'Sac Parametreleri'!$B$6*G341</f>
        <v>0.29099949999999997</v>
      </c>
      <c r="U341" s="139">
        <f>N341*F341*'Sac Parametreleri'!$B$6*G341</f>
        <v>6.3877939024390179E-2</v>
      </c>
      <c r="V341" s="139">
        <f>M341*F341*'Sac Parametreleri'!$B$6*G341</f>
        <v>0.35487743902439017</v>
      </c>
      <c r="W341" s="135" t="s">
        <v>1520</v>
      </c>
    </row>
    <row r="342" spans="1:23" ht="15" customHeight="1" x14ac:dyDescent="0.25">
      <c r="A342" s="135" t="s">
        <v>571</v>
      </c>
      <c r="B342" s="135">
        <v>1</v>
      </c>
      <c r="C342" s="135" t="s">
        <v>1850</v>
      </c>
      <c r="D342" s="135" t="s">
        <v>1851</v>
      </c>
      <c r="E342" s="135" t="s">
        <v>1552</v>
      </c>
      <c r="F342" s="135">
        <v>10</v>
      </c>
      <c r="G342" s="135">
        <v>1</v>
      </c>
      <c r="H342" s="135" t="s">
        <v>1742</v>
      </c>
      <c r="I342" s="178"/>
      <c r="J342" s="178"/>
      <c r="K342" s="179">
        <v>9.0570000000000008E-3</v>
      </c>
      <c r="L342" s="179">
        <v>0</v>
      </c>
      <c r="M342" s="180">
        <f>K342/(1-'Sac Parametreleri'!$B$27)</f>
        <v>1.1045121951219513E-2</v>
      </c>
      <c r="N342" s="180">
        <f t="shared" si="24"/>
        <v>1.9881219512195118E-3</v>
      </c>
      <c r="O342" s="138">
        <f t="shared" si="25"/>
        <v>0.17999999999999997</v>
      </c>
      <c r="P342" s="181">
        <f>IF(E342="Hardox 450",INDEX('Sac Parametreleri'!$G$11:$G$24,MATCH(F342,'Sac Parametreleri'!$A$11:$A$24,0)),INDEX('Sac Parametreleri'!$E$11:$E$24,MATCH(F342,'Sac Parametreleri'!$A$11:$A$24,0)))</f>
        <v>62.800000000000004</v>
      </c>
      <c r="Q342" s="181">
        <f>INDEX('Sac Parametreleri'!$F$11:$F$24,MATCH(F342,'Sac Parametreleri'!$A$11:$A$24,0))</f>
        <v>25.690909090909091</v>
      </c>
      <c r="R342" s="182">
        <f t="shared" si="26"/>
        <v>0.64255699822616419</v>
      </c>
      <c r="S342" s="182">
        <f t="shared" si="27"/>
        <v>0.64255699822616419</v>
      </c>
      <c r="T342" s="139">
        <f>K342*F342*'Sac Parametreleri'!$B$6*G342</f>
        <v>0.71097450000000006</v>
      </c>
      <c r="U342" s="139">
        <f>N342*F342*'Sac Parametreleri'!$B$6*G342</f>
        <v>0.15606757317073167</v>
      </c>
      <c r="V342" s="139">
        <f>M342*F342*'Sac Parametreleri'!$B$6*G342</f>
        <v>0.86704207317073168</v>
      </c>
      <c r="W342" s="135" t="s">
        <v>1520</v>
      </c>
    </row>
    <row r="343" spans="1:23" ht="15" customHeight="1" x14ac:dyDescent="0.25">
      <c r="A343" s="135" t="s">
        <v>571</v>
      </c>
      <c r="B343" s="135">
        <v>3</v>
      </c>
      <c r="C343" s="135" t="s">
        <v>1852</v>
      </c>
      <c r="D343" s="135" t="s">
        <v>1853</v>
      </c>
      <c r="E343" s="135" t="s">
        <v>1552</v>
      </c>
      <c r="F343" s="135">
        <v>3</v>
      </c>
      <c r="G343" s="135">
        <v>1</v>
      </c>
      <c r="H343" s="135" t="s">
        <v>1742</v>
      </c>
      <c r="I343" s="178"/>
      <c r="J343" s="178"/>
      <c r="K343" s="179">
        <v>1.9959999999999999E-3</v>
      </c>
      <c r="L343" s="179">
        <v>0</v>
      </c>
      <c r="M343" s="180">
        <f>K343/(1-'Sac Parametreleri'!$B$27)</f>
        <v>2.4341463414634143E-3</v>
      </c>
      <c r="N343" s="180">
        <f t="shared" si="24"/>
        <v>4.3814634146341434E-4</v>
      </c>
      <c r="O343" s="138">
        <f t="shared" si="25"/>
        <v>0.17999999999999991</v>
      </c>
      <c r="P343" s="181">
        <f>IF(E343="Hardox 450",INDEX('Sac Parametreleri'!$G$11:$G$24,MATCH(F343,'Sac Parametreleri'!$A$11:$A$24,0)),INDEX('Sac Parametreleri'!$E$11:$E$24,MATCH(F343,'Sac Parametreleri'!$A$11:$A$24,0)))</f>
        <v>18.84</v>
      </c>
      <c r="Q343" s="181">
        <f>INDEX('Sac Parametreleri'!$F$11:$F$24,MATCH(F343,'Sac Parametreleri'!$A$11:$A$24,0))</f>
        <v>7.7072727272727262</v>
      </c>
      <c r="R343" s="182">
        <f t="shared" si="26"/>
        <v>4.2482403725055427E-2</v>
      </c>
      <c r="S343" s="182">
        <f t="shared" si="27"/>
        <v>4.2482403725055427E-2</v>
      </c>
      <c r="T343" s="139">
        <f>K343*F343*'Sac Parametreleri'!$B$6*G343</f>
        <v>4.70058E-2</v>
      </c>
      <c r="U343" s="139">
        <f>N343*F343*'Sac Parametreleri'!$B$6*G343</f>
        <v>1.0318346341463407E-2</v>
      </c>
      <c r="V343" s="139">
        <f>M343*F343*'Sac Parametreleri'!$B$6*G343</f>
        <v>5.7324146341463399E-2</v>
      </c>
      <c r="W343" s="135" t="s">
        <v>1520</v>
      </c>
    </row>
    <row r="344" spans="1:23" ht="15" customHeight="1" x14ac:dyDescent="0.25">
      <c r="A344" s="135" t="s">
        <v>569</v>
      </c>
      <c r="B344" s="135">
        <v>1</v>
      </c>
      <c r="C344" s="135" t="s">
        <v>908</v>
      </c>
      <c r="D344" s="135" t="s">
        <v>909</v>
      </c>
      <c r="E344" s="135" t="s">
        <v>1552</v>
      </c>
      <c r="F344" s="135">
        <v>3</v>
      </c>
      <c r="G344" s="135">
        <v>1</v>
      </c>
      <c r="H344" s="135" t="s">
        <v>1765</v>
      </c>
      <c r="I344" s="178"/>
      <c r="J344" s="178"/>
      <c r="K344" s="179">
        <v>0.175924</v>
      </c>
      <c r="L344" s="179">
        <v>0</v>
      </c>
      <c r="M344" s="180">
        <f>K344/(1-'Sac Parametreleri'!$B$29)</f>
        <v>0.22297084917617235</v>
      </c>
      <c r="N344" s="180">
        <f t="shared" si="24"/>
        <v>4.7046849176172356E-2</v>
      </c>
      <c r="O344" s="138">
        <f t="shared" si="25"/>
        <v>0.21099999999999997</v>
      </c>
      <c r="P344" s="181">
        <f>IF(E344="Hardox 450",INDEX('Sac Parametreleri'!$G$11:$G$24,MATCH(F344,'Sac Parametreleri'!$A$11:$A$24,0)),INDEX('Sac Parametreleri'!$E$11:$E$24,MATCH(F344,'Sac Parametreleri'!$A$11:$A$24,0)))</f>
        <v>18.84</v>
      </c>
      <c r="Q344" s="181">
        <f>INDEX('Sac Parametreleri'!$F$11:$F$24,MATCH(F344,'Sac Parametreleri'!$A$11:$A$24,0))</f>
        <v>7.7072727272727262</v>
      </c>
      <c r="R344" s="182">
        <f t="shared" si="26"/>
        <v>3.8381679009194603</v>
      </c>
      <c r="S344" s="182">
        <f t="shared" si="27"/>
        <v>3.8381679009194603</v>
      </c>
      <c r="T344" s="139">
        <f>K344*F344*'Sac Parametreleri'!$B$6*G344</f>
        <v>4.1430102</v>
      </c>
      <c r="U344" s="139">
        <f>N344*F344*'Sac Parametreleri'!$B$6*G344</f>
        <v>1.1079532980988589</v>
      </c>
      <c r="V344" s="139">
        <f>M344*F344*'Sac Parametreleri'!$B$6*G344</f>
        <v>5.2509634980988587</v>
      </c>
      <c r="W344" s="135" t="s">
        <v>1520</v>
      </c>
    </row>
    <row r="345" spans="1:23" ht="15" customHeight="1" x14ac:dyDescent="0.25">
      <c r="A345" s="135" t="s">
        <v>569</v>
      </c>
      <c r="B345" s="135">
        <v>2</v>
      </c>
      <c r="C345" s="135" t="s">
        <v>1821</v>
      </c>
      <c r="D345" s="135" t="s">
        <v>1854</v>
      </c>
      <c r="E345" s="135" t="s">
        <v>1552</v>
      </c>
      <c r="F345" s="135">
        <v>5</v>
      </c>
      <c r="G345" s="135">
        <v>1</v>
      </c>
      <c r="H345" s="135" t="s">
        <v>1742</v>
      </c>
      <c r="I345" s="178"/>
      <c r="J345" s="178"/>
      <c r="K345" s="179">
        <v>8.5100000000000002E-3</v>
      </c>
      <c r="L345" s="179">
        <v>0</v>
      </c>
      <c r="M345" s="180">
        <f>K345/(1-'Sac Parametreleri'!$B$27)</f>
        <v>1.0378048780487804E-2</v>
      </c>
      <c r="N345" s="180">
        <f t="shared" si="24"/>
        <v>1.8680487804878035E-3</v>
      </c>
      <c r="O345" s="138">
        <f t="shared" si="25"/>
        <v>0.17999999999999988</v>
      </c>
      <c r="P345" s="181">
        <f>IF(E345="Hardox 450",INDEX('Sac Parametreleri'!$G$11:$G$24,MATCH(F345,'Sac Parametreleri'!$A$11:$A$24,0)),INDEX('Sac Parametreleri'!$E$11:$E$24,MATCH(F345,'Sac Parametreleri'!$A$11:$A$24,0)))</f>
        <v>31.400000000000002</v>
      </c>
      <c r="Q345" s="181">
        <f>INDEX('Sac Parametreleri'!$F$11:$F$24,MATCH(F345,'Sac Parametreleri'!$A$11:$A$24,0))</f>
        <v>12.845454545454546</v>
      </c>
      <c r="R345" s="182">
        <f t="shared" si="26"/>
        <v>0.30187479600886918</v>
      </c>
      <c r="S345" s="182">
        <f t="shared" si="27"/>
        <v>0.30187479600886918</v>
      </c>
      <c r="T345" s="139">
        <f>K345*F345*'Sac Parametreleri'!$B$6*G345</f>
        <v>0.33401750000000002</v>
      </c>
      <c r="U345" s="139">
        <f>N345*F345*'Sac Parametreleri'!$B$6*G345</f>
        <v>7.3320914634146278E-2</v>
      </c>
      <c r="V345" s="139">
        <f>M345*F345*'Sac Parametreleri'!$B$6*G345</f>
        <v>0.40733841463414627</v>
      </c>
      <c r="W345" s="135" t="s">
        <v>1520</v>
      </c>
    </row>
    <row r="346" spans="1:23" ht="15" customHeight="1" x14ac:dyDescent="0.25">
      <c r="A346" s="135" t="s">
        <v>524</v>
      </c>
      <c r="B346" s="135">
        <v>1</v>
      </c>
      <c r="C346" s="135" t="s">
        <v>773</v>
      </c>
      <c r="D346" s="135" t="s">
        <v>774</v>
      </c>
      <c r="E346" s="135" t="s">
        <v>1552</v>
      </c>
      <c r="F346" s="135">
        <v>5</v>
      </c>
      <c r="G346" s="135">
        <v>1</v>
      </c>
      <c r="H346" s="135" t="s">
        <v>1830</v>
      </c>
      <c r="I346" s="178"/>
      <c r="J346" s="178"/>
      <c r="K346" s="179">
        <v>9.8547999999999997E-2</v>
      </c>
      <c r="L346" s="179">
        <v>0</v>
      </c>
      <c r="M346" s="180">
        <f>K346/(1-'Sac Parametreleri'!$B$29)</f>
        <v>0.12490240811153358</v>
      </c>
      <c r="N346" s="180">
        <f t="shared" si="24"/>
        <v>2.6354408111533584E-2</v>
      </c>
      <c r="O346" s="138">
        <f t="shared" si="25"/>
        <v>0.21099999999999999</v>
      </c>
      <c r="P346" s="181">
        <f>IF(E346="Hardox 450",INDEX('Sac Parametreleri'!$G$11:$G$24,MATCH(F346,'Sac Parametreleri'!$A$11:$A$24,0)),INDEX('Sac Parametreleri'!$E$11:$E$24,MATCH(F346,'Sac Parametreleri'!$A$11:$A$24,0)))</f>
        <v>31.400000000000002</v>
      </c>
      <c r="Q346" s="181">
        <f>INDEX('Sac Parametreleri'!$F$11:$F$24,MATCH(F346,'Sac Parametreleri'!$A$11:$A$24,0))</f>
        <v>12.845454545454546</v>
      </c>
      <c r="R346" s="182">
        <f t="shared" si="26"/>
        <v>3.5834012632330916</v>
      </c>
      <c r="S346" s="182">
        <f t="shared" si="27"/>
        <v>3.5834012632330916</v>
      </c>
      <c r="T346" s="139">
        <f>K346*F346*'Sac Parametreleri'!$B$6*G346</f>
        <v>3.8680089999999994</v>
      </c>
      <c r="U346" s="139">
        <f>N346*F346*'Sac Parametreleri'!$B$6*G346</f>
        <v>1.034410518377693</v>
      </c>
      <c r="V346" s="139">
        <f>M346*F346*'Sac Parametreleri'!$B$6*G346</f>
        <v>4.902419518377692</v>
      </c>
      <c r="W346" s="135" t="s">
        <v>1520</v>
      </c>
    </row>
    <row r="347" spans="1:23" ht="15" customHeight="1" x14ac:dyDescent="0.25">
      <c r="A347" s="135" t="s">
        <v>524</v>
      </c>
      <c r="B347" s="135">
        <v>2</v>
      </c>
      <c r="C347" s="135" t="s">
        <v>775</v>
      </c>
      <c r="D347" s="135" t="s">
        <v>774</v>
      </c>
      <c r="E347" s="135" t="s">
        <v>1552</v>
      </c>
      <c r="F347" s="135">
        <v>5</v>
      </c>
      <c r="G347" s="135">
        <v>1</v>
      </c>
      <c r="H347" s="135" t="s">
        <v>1746</v>
      </c>
      <c r="I347" s="178"/>
      <c r="J347" s="178"/>
      <c r="K347" s="179">
        <v>1.4089000000000001E-2</v>
      </c>
      <c r="L347" s="179">
        <v>0</v>
      </c>
      <c r="M347" s="180">
        <f>K347/(1-'Sac Parametreleri'!$B$29)</f>
        <v>1.7856780735107731E-2</v>
      </c>
      <c r="N347" s="180">
        <f t="shared" si="24"/>
        <v>3.76778073510773E-3</v>
      </c>
      <c r="O347" s="138">
        <f t="shared" si="25"/>
        <v>0.21099999999999994</v>
      </c>
      <c r="P347" s="181">
        <f>IF(E347="Hardox 450",INDEX('Sac Parametreleri'!$G$11:$G$24,MATCH(F347,'Sac Parametreleri'!$A$11:$A$24,0)),INDEX('Sac Parametreleri'!$E$11:$E$24,MATCH(F347,'Sac Parametreleri'!$A$11:$A$24,0)))</f>
        <v>31.400000000000002</v>
      </c>
      <c r="Q347" s="181">
        <f>INDEX('Sac Parametreleri'!$F$11:$F$24,MATCH(F347,'Sac Parametreleri'!$A$11:$A$24,0))</f>
        <v>12.845454545454546</v>
      </c>
      <c r="R347" s="182">
        <f t="shared" si="26"/>
        <v>0.51230405891231712</v>
      </c>
      <c r="S347" s="182">
        <f t="shared" si="27"/>
        <v>0.51230405891231712</v>
      </c>
      <c r="T347" s="139">
        <f>K347*F347*'Sac Parametreleri'!$B$6*G347</f>
        <v>0.55299324999999999</v>
      </c>
      <c r="U347" s="139">
        <f>N347*F347*'Sac Parametreleri'!$B$6*G347</f>
        <v>0.14788539385297839</v>
      </c>
      <c r="V347" s="139">
        <f>M347*F347*'Sac Parametreleri'!$B$6*G347</f>
        <v>0.70087864385297838</v>
      </c>
      <c r="W347" s="135" t="s">
        <v>1520</v>
      </c>
    </row>
    <row r="348" spans="1:23" ht="15" customHeight="1" x14ac:dyDescent="0.25">
      <c r="A348" s="135" t="s">
        <v>591</v>
      </c>
      <c r="B348" s="135">
        <v>1</v>
      </c>
      <c r="C348" s="135" t="s">
        <v>1850</v>
      </c>
      <c r="D348" s="135" t="s">
        <v>1851</v>
      </c>
      <c r="E348" s="135" t="s">
        <v>1552</v>
      </c>
      <c r="F348" s="135">
        <v>10</v>
      </c>
      <c r="G348" s="135">
        <v>1</v>
      </c>
      <c r="H348" s="135" t="s">
        <v>1742</v>
      </c>
      <c r="I348" s="178"/>
      <c r="J348" s="178"/>
      <c r="K348" s="179">
        <v>9.0570000000000008E-3</v>
      </c>
      <c r="L348" s="179">
        <v>0</v>
      </c>
      <c r="M348" s="180">
        <f>K348/(1-'Sac Parametreleri'!$B$27)</f>
        <v>1.1045121951219513E-2</v>
      </c>
      <c r="N348" s="180">
        <f t="shared" si="24"/>
        <v>1.9881219512195118E-3</v>
      </c>
      <c r="O348" s="138">
        <f t="shared" si="25"/>
        <v>0.17999999999999997</v>
      </c>
      <c r="P348" s="181">
        <f>IF(E348="Hardox 450",INDEX('Sac Parametreleri'!$G$11:$G$24,MATCH(F348,'Sac Parametreleri'!$A$11:$A$24,0)),INDEX('Sac Parametreleri'!$E$11:$E$24,MATCH(F348,'Sac Parametreleri'!$A$11:$A$24,0)))</f>
        <v>62.800000000000004</v>
      </c>
      <c r="Q348" s="181">
        <f>INDEX('Sac Parametreleri'!$F$11:$F$24,MATCH(F348,'Sac Parametreleri'!$A$11:$A$24,0))</f>
        <v>25.690909090909091</v>
      </c>
      <c r="R348" s="182">
        <f t="shared" si="26"/>
        <v>0.64255699822616419</v>
      </c>
      <c r="S348" s="182">
        <f t="shared" si="27"/>
        <v>0.64255699822616419</v>
      </c>
      <c r="T348" s="139">
        <f>K348*F348*'Sac Parametreleri'!$B$6*G348</f>
        <v>0.71097450000000006</v>
      </c>
      <c r="U348" s="139">
        <f>N348*F348*'Sac Parametreleri'!$B$6*G348</f>
        <v>0.15606757317073167</v>
      </c>
      <c r="V348" s="139">
        <f>M348*F348*'Sac Parametreleri'!$B$6*G348</f>
        <v>0.86704207317073168</v>
      </c>
      <c r="W348" s="135" t="s">
        <v>1520</v>
      </c>
    </row>
    <row r="349" spans="1:23" ht="15" customHeight="1" x14ac:dyDescent="0.25">
      <c r="A349" s="135" t="s">
        <v>591</v>
      </c>
      <c r="B349" s="135">
        <v>3</v>
      </c>
      <c r="C349" s="135" t="s">
        <v>1852</v>
      </c>
      <c r="D349" s="135" t="s">
        <v>1853</v>
      </c>
      <c r="E349" s="135" t="s">
        <v>1552</v>
      </c>
      <c r="F349" s="135">
        <v>3</v>
      </c>
      <c r="G349" s="135">
        <v>1</v>
      </c>
      <c r="H349" s="135" t="s">
        <v>1742</v>
      </c>
      <c r="I349" s="178"/>
      <c r="J349" s="178"/>
      <c r="K349" s="179">
        <v>1.9959999999999999E-3</v>
      </c>
      <c r="L349" s="179">
        <v>0</v>
      </c>
      <c r="M349" s="180">
        <f>K349/(1-'Sac Parametreleri'!$B$27)</f>
        <v>2.4341463414634143E-3</v>
      </c>
      <c r="N349" s="180">
        <f t="shared" si="24"/>
        <v>4.3814634146341434E-4</v>
      </c>
      <c r="O349" s="138">
        <f t="shared" si="25"/>
        <v>0.17999999999999991</v>
      </c>
      <c r="P349" s="181">
        <f>IF(E349="Hardox 450",INDEX('Sac Parametreleri'!$G$11:$G$24,MATCH(F349,'Sac Parametreleri'!$A$11:$A$24,0)),INDEX('Sac Parametreleri'!$E$11:$E$24,MATCH(F349,'Sac Parametreleri'!$A$11:$A$24,0)))</f>
        <v>18.84</v>
      </c>
      <c r="Q349" s="181">
        <f>INDEX('Sac Parametreleri'!$F$11:$F$24,MATCH(F349,'Sac Parametreleri'!$A$11:$A$24,0))</f>
        <v>7.7072727272727262</v>
      </c>
      <c r="R349" s="182">
        <f t="shared" si="26"/>
        <v>4.2482403725055427E-2</v>
      </c>
      <c r="S349" s="182">
        <f t="shared" si="27"/>
        <v>4.2482403725055427E-2</v>
      </c>
      <c r="T349" s="139">
        <f>K349*F349*'Sac Parametreleri'!$B$6*G349</f>
        <v>4.70058E-2</v>
      </c>
      <c r="U349" s="139">
        <f>N349*F349*'Sac Parametreleri'!$B$6*G349</f>
        <v>1.0318346341463407E-2</v>
      </c>
      <c r="V349" s="139">
        <f>M349*F349*'Sac Parametreleri'!$B$6*G349</f>
        <v>5.7324146341463399E-2</v>
      </c>
      <c r="W349" s="135" t="s">
        <v>1520</v>
      </c>
    </row>
    <row r="350" spans="1:23" ht="15" customHeight="1" x14ac:dyDescent="0.25">
      <c r="A350" s="135" t="s">
        <v>634</v>
      </c>
      <c r="B350" s="135">
        <v>2</v>
      </c>
      <c r="C350" s="135" t="s">
        <v>1855</v>
      </c>
      <c r="D350" s="135" t="s">
        <v>1856</v>
      </c>
      <c r="E350" s="135" t="s">
        <v>1552</v>
      </c>
      <c r="F350" s="135">
        <v>10</v>
      </c>
      <c r="G350" s="135">
        <v>2</v>
      </c>
      <c r="H350" s="135" t="s">
        <v>1742</v>
      </c>
      <c r="I350" s="178"/>
      <c r="J350" s="178"/>
      <c r="K350" s="179">
        <v>3.0829999999999998E-3</v>
      </c>
      <c r="L350" s="179">
        <v>0</v>
      </c>
      <c r="M350" s="180">
        <f>K350/(1-'Sac Parametreleri'!$B$27)</f>
        <v>3.7597560975609749E-3</v>
      </c>
      <c r="N350" s="180">
        <f t="shared" si="24"/>
        <v>6.7675609756097507E-4</v>
      </c>
      <c r="O350" s="138">
        <f t="shared" si="25"/>
        <v>0.17999999999999988</v>
      </c>
      <c r="P350" s="181">
        <f>IF(E350="Hardox 450",INDEX('Sac Parametreleri'!$G$11:$G$24,MATCH(F350,'Sac Parametreleri'!$A$11:$A$24,0)),INDEX('Sac Parametreleri'!$E$11:$E$24,MATCH(F350,'Sac Parametreleri'!$A$11:$A$24,0)))</f>
        <v>62.800000000000004</v>
      </c>
      <c r="Q350" s="181">
        <f>INDEX('Sac Parametreleri'!$F$11:$F$24,MATCH(F350,'Sac Parametreleri'!$A$11:$A$24,0))</f>
        <v>25.690909090909091</v>
      </c>
      <c r="R350" s="182">
        <f t="shared" si="26"/>
        <v>0.21872620354767183</v>
      </c>
      <c r="S350" s="182">
        <f t="shared" si="27"/>
        <v>0.43745240709534366</v>
      </c>
      <c r="T350" s="139">
        <f>K350*F350*'Sac Parametreleri'!$B$6*G350</f>
        <v>0.48403099999999993</v>
      </c>
      <c r="U350" s="139">
        <f>N350*F350*'Sac Parametreleri'!$B$6*G350</f>
        <v>0.10625070731707308</v>
      </c>
      <c r="V350" s="139">
        <f>M350*F350*'Sac Parametreleri'!$B$6*G350</f>
        <v>0.59028170731707297</v>
      </c>
      <c r="W350" s="135" t="s">
        <v>1520</v>
      </c>
    </row>
    <row r="351" spans="1:23" ht="15" customHeight="1" x14ac:dyDescent="0.25">
      <c r="A351" s="135" t="s">
        <v>493</v>
      </c>
      <c r="B351" s="135">
        <v>1</v>
      </c>
      <c r="C351" s="135" t="s">
        <v>1857</v>
      </c>
      <c r="D351" s="135" t="s">
        <v>749</v>
      </c>
      <c r="E351" s="135" t="s">
        <v>1552</v>
      </c>
      <c r="F351" s="135">
        <v>8</v>
      </c>
      <c r="G351" s="135">
        <v>1</v>
      </c>
      <c r="H351" s="135" t="s">
        <v>1742</v>
      </c>
      <c r="I351" s="178"/>
      <c r="J351" s="178"/>
      <c r="K351" s="179">
        <v>1.2962E-2</v>
      </c>
      <c r="L351" s="179">
        <v>0</v>
      </c>
      <c r="M351" s="180">
        <f>K351/(1-'Sac Parametreleri'!$B$27)</f>
        <v>1.5807317073170731E-2</v>
      </c>
      <c r="N351" s="180">
        <f t="shared" si="24"/>
        <v>2.8453170731707316E-3</v>
      </c>
      <c r="O351" s="138">
        <f t="shared" si="25"/>
        <v>0.18</v>
      </c>
      <c r="P351" s="181">
        <f>IF(E351="Hardox 450",INDEX('Sac Parametreleri'!$G$11:$G$24,MATCH(F351,'Sac Parametreleri'!$A$11:$A$24,0)),INDEX('Sac Parametreleri'!$E$11:$E$24,MATCH(F351,'Sac Parametreleri'!$A$11:$A$24,0)))</f>
        <v>50.24</v>
      </c>
      <c r="Q351" s="181">
        <f>INDEX('Sac Parametreleri'!$F$11:$F$24,MATCH(F351,'Sac Parametreleri'!$A$11:$A$24,0))</f>
        <v>20.552727272727271</v>
      </c>
      <c r="R351" s="182">
        <f t="shared" si="26"/>
        <v>0.73568058394678493</v>
      </c>
      <c r="S351" s="182">
        <f t="shared" si="27"/>
        <v>0.73568058394678493</v>
      </c>
      <c r="T351" s="139">
        <f>K351*F351*'Sac Parametreleri'!$B$6*G351</f>
        <v>0.81401359999999989</v>
      </c>
      <c r="U351" s="139">
        <f>N351*F351*'Sac Parametreleri'!$B$6*G351</f>
        <v>0.17868591219512195</v>
      </c>
      <c r="V351" s="139">
        <f>M351*F351*'Sac Parametreleri'!$B$6*G351</f>
        <v>0.99269951219512187</v>
      </c>
      <c r="W351" s="135" t="s">
        <v>1520</v>
      </c>
    </row>
    <row r="352" spans="1:23" ht="15" customHeight="1" x14ac:dyDescent="0.25">
      <c r="A352" s="135" t="s">
        <v>493</v>
      </c>
      <c r="B352" s="135">
        <v>3</v>
      </c>
      <c r="C352" s="135" t="s">
        <v>1858</v>
      </c>
      <c r="D352" s="135" t="s">
        <v>749</v>
      </c>
      <c r="E352" s="135" t="s">
        <v>1552</v>
      </c>
      <c r="F352" s="135">
        <v>8</v>
      </c>
      <c r="G352" s="135">
        <v>1</v>
      </c>
      <c r="H352" s="135" t="s">
        <v>1742</v>
      </c>
      <c r="I352" s="178"/>
      <c r="J352" s="178"/>
      <c r="K352" s="179">
        <v>6.4489999999999999E-3</v>
      </c>
      <c r="L352" s="179">
        <v>0</v>
      </c>
      <c r="M352" s="180">
        <f>K352/(1-'Sac Parametreleri'!$B$27)</f>
        <v>7.8646341463414621E-3</v>
      </c>
      <c r="N352" s="180">
        <f t="shared" si="24"/>
        <v>1.4156341463414622E-3</v>
      </c>
      <c r="O352" s="138">
        <f t="shared" si="25"/>
        <v>0.17999999999999988</v>
      </c>
      <c r="P352" s="181">
        <f>IF(E352="Hardox 450",INDEX('Sac Parametreleri'!$G$11:$G$24,MATCH(F352,'Sac Parametreleri'!$A$11:$A$24,0)),INDEX('Sac Parametreleri'!$E$11:$E$24,MATCH(F352,'Sac Parametreleri'!$A$11:$A$24,0)))</f>
        <v>50.24</v>
      </c>
      <c r="Q352" s="181">
        <f>INDEX('Sac Parametreleri'!$F$11:$F$24,MATCH(F352,'Sac Parametreleri'!$A$11:$A$24,0))</f>
        <v>20.552727272727271</v>
      </c>
      <c r="R352" s="182">
        <f t="shared" si="26"/>
        <v>0.36602407698447892</v>
      </c>
      <c r="S352" s="182">
        <f t="shared" si="27"/>
        <v>0.36602407698447892</v>
      </c>
      <c r="T352" s="139">
        <f>K352*F352*'Sac Parametreleri'!$B$6*G352</f>
        <v>0.40499719999999995</v>
      </c>
      <c r="U352" s="139">
        <f>N352*F352*'Sac Parametreleri'!$B$6*G352</f>
        <v>8.8901824390243828E-2</v>
      </c>
      <c r="V352" s="139">
        <f>M352*F352*'Sac Parametreleri'!$B$6*G352</f>
        <v>0.4938990243902438</v>
      </c>
      <c r="W352" s="135" t="s">
        <v>1520</v>
      </c>
    </row>
    <row r="353" spans="1:23" ht="15" customHeight="1" x14ac:dyDescent="0.25">
      <c r="A353" s="135" t="s">
        <v>241</v>
      </c>
      <c r="B353" s="135">
        <v>1</v>
      </c>
      <c r="C353" s="135" t="s">
        <v>1859</v>
      </c>
      <c r="D353" s="135" t="s">
        <v>1860</v>
      </c>
      <c r="E353" s="135" t="s">
        <v>1552</v>
      </c>
      <c r="F353" s="135">
        <v>10</v>
      </c>
      <c r="G353" s="135">
        <v>1</v>
      </c>
      <c r="H353" s="135" t="s">
        <v>1742</v>
      </c>
      <c r="I353" s="178"/>
      <c r="J353" s="178"/>
      <c r="K353" s="179">
        <v>2.2089000000000001E-2</v>
      </c>
      <c r="L353" s="179">
        <v>0</v>
      </c>
      <c r="M353" s="180">
        <f>K353/(1-'Sac Parametreleri'!$B$27)</f>
        <v>2.6937804878048779E-2</v>
      </c>
      <c r="N353" s="180">
        <f t="shared" si="24"/>
        <v>4.8488048780487777E-3</v>
      </c>
      <c r="O353" s="138">
        <f t="shared" si="25"/>
        <v>0.17999999999999991</v>
      </c>
      <c r="P353" s="181">
        <f>IF(E353="Hardox 450",INDEX('Sac Parametreleri'!$G$11:$G$24,MATCH(F353,'Sac Parametreleri'!$A$11:$A$24,0)),INDEX('Sac Parametreleri'!$E$11:$E$24,MATCH(F353,'Sac Parametreleri'!$A$11:$A$24,0)))</f>
        <v>62.800000000000004</v>
      </c>
      <c r="Q353" s="181">
        <f>INDEX('Sac Parametreleri'!$F$11:$F$24,MATCH(F353,'Sac Parametreleri'!$A$11:$A$24,0))</f>
        <v>25.690909090909091</v>
      </c>
      <c r="R353" s="182">
        <f t="shared" si="26"/>
        <v>1.5671239410199558</v>
      </c>
      <c r="S353" s="182">
        <f t="shared" si="27"/>
        <v>1.5671239410199558</v>
      </c>
      <c r="T353" s="139">
        <f>K353*F353*'Sac Parametreleri'!$B$6*G353</f>
        <v>1.7339864999999999</v>
      </c>
      <c r="U353" s="139">
        <f>N353*F353*'Sac Parametreleri'!$B$6*G353</f>
        <v>0.38063118292682901</v>
      </c>
      <c r="V353" s="139">
        <f>M353*F353*'Sac Parametreleri'!$B$6*G353</f>
        <v>2.1146176829268288</v>
      </c>
      <c r="W353" s="135" t="s">
        <v>1520</v>
      </c>
    </row>
    <row r="354" spans="1:23" ht="15" customHeight="1" x14ac:dyDescent="0.25">
      <c r="A354" s="135" t="s">
        <v>241</v>
      </c>
      <c r="B354" s="135">
        <v>2</v>
      </c>
      <c r="C354" s="135" t="s">
        <v>1861</v>
      </c>
      <c r="D354" s="135" t="s">
        <v>1862</v>
      </c>
      <c r="E354" s="135" t="s">
        <v>1552</v>
      </c>
      <c r="F354" s="135">
        <v>10</v>
      </c>
      <c r="G354" s="135">
        <v>2</v>
      </c>
      <c r="H354" s="135" t="s">
        <v>1742</v>
      </c>
      <c r="I354" s="178"/>
      <c r="J354" s="178"/>
      <c r="K354" s="179">
        <v>2.1159000000000001E-2</v>
      </c>
      <c r="L354" s="179">
        <v>0</v>
      </c>
      <c r="M354" s="180">
        <f>K354/(1-'Sac Parametreleri'!$B$27)</f>
        <v>2.5803658536585363E-2</v>
      </c>
      <c r="N354" s="180">
        <f t="shared" si="24"/>
        <v>4.6446585365853624E-3</v>
      </c>
      <c r="O354" s="138">
        <f t="shared" si="25"/>
        <v>0.17999999999999988</v>
      </c>
      <c r="P354" s="181">
        <f>IF(E354="Hardox 450",INDEX('Sac Parametreleri'!$G$11:$G$24,MATCH(F354,'Sac Parametreleri'!$A$11:$A$24,0)),INDEX('Sac Parametreleri'!$E$11:$E$24,MATCH(F354,'Sac Parametreleri'!$A$11:$A$24,0)))</f>
        <v>62.800000000000004</v>
      </c>
      <c r="Q354" s="181">
        <f>INDEX('Sac Parametreleri'!$F$11:$F$24,MATCH(F354,'Sac Parametreleri'!$A$11:$A$24,0))</f>
        <v>25.690909090909091</v>
      </c>
      <c r="R354" s="182">
        <f t="shared" si="26"/>
        <v>1.5011442558758314</v>
      </c>
      <c r="S354" s="182">
        <f t="shared" si="27"/>
        <v>3.0022885117516629</v>
      </c>
      <c r="T354" s="139">
        <f>K354*F354*'Sac Parametreleri'!$B$6*G354</f>
        <v>3.3219629999999998</v>
      </c>
      <c r="U354" s="139">
        <f>N354*F354*'Sac Parametreleri'!$B$6*G354</f>
        <v>0.72921139024390191</v>
      </c>
      <c r="V354" s="139">
        <f>M354*F354*'Sac Parametreleri'!$B$6*G354</f>
        <v>4.0511743902439017</v>
      </c>
      <c r="W354" s="135" t="s">
        <v>1520</v>
      </c>
    </row>
    <row r="355" spans="1:23" ht="15" customHeight="1" x14ac:dyDescent="0.25">
      <c r="A355" s="135" t="s">
        <v>507</v>
      </c>
      <c r="B355" s="135">
        <v>1</v>
      </c>
      <c r="C355" s="135" t="s">
        <v>1863</v>
      </c>
      <c r="D355" s="135" t="s">
        <v>1864</v>
      </c>
      <c r="E355" s="135" t="s">
        <v>1552</v>
      </c>
      <c r="F355" s="135">
        <v>10</v>
      </c>
      <c r="G355" s="135">
        <v>1</v>
      </c>
      <c r="H355" s="135" t="s">
        <v>1742</v>
      </c>
      <c r="I355" s="178"/>
      <c r="J355" s="178"/>
      <c r="K355" s="179">
        <v>1.8381999999999999E-2</v>
      </c>
      <c r="L355" s="179">
        <v>0</v>
      </c>
      <c r="M355" s="180">
        <f>K355/(1-'Sac Parametreleri'!$B$27)</f>
        <v>2.2417073170731706E-2</v>
      </c>
      <c r="N355" s="180">
        <f t="shared" si="24"/>
        <v>4.0350731707317067E-3</v>
      </c>
      <c r="O355" s="138">
        <f t="shared" si="25"/>
        <v>0.18</v>
      </c>
      <c r="P355" s="181">
        <f>IF(E355="Hardox 450",INDEX('Sac Parametreleri'!$G$11:$G$24,MATCH(F355,'Sac Parametreleri'!$A$11:$A$24,0)),INDEX('Sac Parametreleri'!$E$11:$E$24,MATCH(F355,'Sac Parametreleri'!$A$11:$A$24,0)))</f>
        <v>62.800000000000004</v>
      </c>
      <c r="Q355" s="181">
        <f>INDEX('Sac Parametreleri'!$F$11:$F$24,MATCH(F355,'Sac Parametreleri'!$A$11:$A$24,0))</f>
        <v>25.690909090909091</v>
      </c>
      <c r="R355" s="182">
        <f t="shared" si="26"/>
        <v>1.3041274971175165</v>
      </c>
      <c r="S355" s="182">
        <f t="shared" si="27"/>
        <v>1.3041274971175165</v>
      </c>
      <c r="T355" s="139">
        <f>K355*F355*'Sac Parametreleri'!$B$6*G355</f>
        <v>1.4429869999999998</v>
      </c>
      <c r="U355" s="139">
        <f>N355*F355*'Sac Parametreleri'!$B$6*G355</f>
        <v>0.31675324390243897</v>
      </c>
      <c r="V355" s="139">
        <f>M355*F355*'Sac Parametreleri'!$B$6*G355</f>
        <v>1.7597402439024388</v>
      </c>
      <c r="W355" s="135" t="s">
        <v>1520</v>
      </c>
    </row>
    <row r="356" spans="1:23" ht="15" customHeight="1" x14ac:dyDescent="0.25">
      <c r="A356" s="135" t="s">
        <v>507</v>
      </c>
      <c r="B356" s="135">
        <v>2</v>
      </c>
      <c r="C356" s="135" t="s">
        <v>1865</v>
      </c>
      <c r="D356" s="135" t="s">
        <v>1866</v>
      </c>
      <c r="E356" s="135" t="s">
        <v>1552</v>
      </c>
      <c r="F356" s="135">
        <v>10</v>
      </c>
      <c r="G356" s="135">
        <v>2</v>
      </c>
      <c r="H356" s="135" t="s">
        <v>1742</v>
      </c>
      <c r="I356" s="178"/>
      <c r="J356" s="178"/>
      <c r="K356" s="179">
        <v>1.6879000000000002E-2</v>
      </c>
      <c r="L356" s="179">
        <v>0</v>
      </c>
      <c r="M356" s="180">
        <f>K356/(1-'Sac Parametreleri'!$B$27)</f>
        <v>2.0584146341463414E-2</v>
      </c>
      <c r="N356" s="180">
        <f t="shared" si="24"/>
        <v>3.7051463414634125E-3</v>
      </c>
      <c r="O356" s="138">
        <f t="shared" si="25"/>
        <v>0.17999999999999991</v>
      </c>
      <c r="P356" s="181">
        <f>IF(E356="Hardox 450",INDEX('Sac Parametreleri'!$G$11:$G$24,MATCH(F356,'Sac Parametreleri'!$A$11:$A$24,0)),INDEX('Sac Parametreleri'!$E$11:$E$24,MATCH(F356,'Sac Parametreleri'!$A$11:$A$24,0)))</f>
        <v>62.800000000000004</v>
      </c>
      <c r="Q356" s="181">
        <f>INDEX('Sac Parametreleri'!$F$11:$F$24,MATCH(F356,'Sac Parametreleri'!$A$11:$A$24,0))</f>
        <v>25.690909090909091</v>
      </c>
      <c r="R356" s="182">
        <f t="shared" si="26"/>
        <v>1.1974958124168515</v>
      </c>
      <c r="S356" s="182">
        <f t="shared" si="27"/>
        <v>2.3949916248337031</v>
      </c>
      <c r="T356" s="139">
        <f>K356*F356*'Sac Parametreleri'!$B$6*G356</f>
        <v>2.6500030000000003</v>
      </c>
      <c r="U356" s="139">
        <f>N356*F356*'Sac Parametreleri'!$B$6*G356</f>
        <v>0.58170797560975573</v>
      </c>
      <c r="V356" s="139">
        <f>M356*F356*'Sac Parametreleri'!$B$6*G356</f>
        <v>3.2317109756097557</v>
      </c>
      <c r="W356" s="135" t="s">
        <v>1520</v>
      </c>
    </row>
    <row r="357" spans="1:23" ht="15" customHeight="1" x14ac:dyDescent="0.25">
      <c r="A357" s="135" t="s">
        <v>525</v>
      </c>
      <c r="B357" s="135">
        <v>1</v>
      </c>
      <c r="C357" s="135" t="s">
        <v>795</v>
      </c>
      <c r="D357" s="135" t="s">
        <v>749</v>
      </c>
      <c r="E357" s="135" t="s">
        <v>1552</v>
      </c>
      <c r="F357" s="135">
        <v>8</v>
      </c>
      <c r="G357" s="135">
        <v>1</v>
      </c>
      <c r="H357" s="135" t="s">
        <v>1746</v>
      </c>
      <c r="I357" s="178"/>
      <c r="J357" s="178"/>
      <c r="K357" s="179">
        <v>5.5954999999999998E-2</v>
      </c>
      <c r="L357" s="179">
        <v>0</v>
      </c>
      <c r="M357" s="180">
        <f>K357/(1-'Sac Parametreleri'!$B$29)</f>
        <v>7.0918884664131807E-2</v>
      </c>
      <c r="N357" s="180">
        <f t="shared" si="24"/>
        <v>1.4963884664131809E-2</v>
      </c>
      <c r="O357" s="138">
        <f t="shared" si="25"/>
        <v>0.21099999999999997</v>
      </c>
      <c r="P357" s="181">
        <f>IF(E357="Hardox 450",INDEX('Sac Parametreleri'!$G$11:$G$24,MATCH(F357,'Sac Parametreleri'!$A$11:$A$24,0)),INDEX('Sac Parametreleri'!$E$11:$E$24,MATCH(F357,'Sac Parametreleri'!$A$11:$A$24,0)))</f>
        <v>50.24</v>
      </c>
      <c r="Q357" s="181">
        <f>INDEX('Sac Parametreleri'!$F$11:$F$24,MATCH(F357,'Sac Parametreleri'!$A$11:$A$24,0))</f>
        <v>20.552727272727271</v>
      </c>
      <c r="R357" s="182">
        <f t="shared" si="26"/>
        <v>3.255416125083535</v>
      </c>
      <c r="S357" s="182">
        <f t="shared" si="27"/>
        <v>3.255416125083535</v>
      </c>
      <c r="T357" s="139">
        <f>K357*F357*'Sac Parametreleri'!$B$6*G357</f>
        <v>3.5139739999999997</v>
      </c>
      <c r="U357" s="139">
        <f>N357*F357*'Sac Parametreleri'!$B$6*G357</f>
        <v>0.93973195690747757</v>
      </c>
      <c r="V357" s="139">
        <f>M357*F357*'Sac Parametreleri'!$B$6*G357</f>
        <v>4.4537059569074771</v>
      </c>
      <c r="W357" s="135" t="s">
        <v>1520</v>
      </c>
    </row>
    <row r="358" spans="1:23" ht="15" customHeight="1" x14ac:dyDescent="0.25">
      <c r="A358" s="135" t="s">
        <v>525</v>
      </c>
      <c r="B358" s="135">
        <v>2</v>
      </c>
      <c r="C358" s="135" t="s">
        <v>1867</v>
      </c>
      <c r="D358" s="135" t="s">
        <v>749</v>
      </c>
      <c r="E358" s="135" t="s">
        <v>1552</v>
      </c>
      <c r="F358" s="135">
        <v>10</v>
      </c>
      <c r="G358" s="135">
        <v>1</v>
      </c>
      <c r="H358" s="135" t="s">
        <v>1742</v>
      </c>
      <c r="I358" s="178"/>
      <c r="J358" s="178"/>
      <c r="K358" s="179">
        <v>5.9490000000000003E-3</v>
      </c>
      <c r="L358" s="179">
        <v>0</v>
      </c>
      <c r="M358" s="180">
        <f>K358/(1-'Sac Parametreleri'!$B$27)</f>
        <v>7.2548780487804877E-3</v>
      </c>
      <c r="N358" s="180">
        <f t="shared" si="24"/>
        <v>1.3058780487804874E-3</v>
      </c>
      <c r="O358" s="138">
        <f t="shared" si="25"/>
        <v>0.17999999999999994</v>
      </c>
      <c r="P358" s="181">
        <f>IF(E358="Hardox 450",INDEX('Sac Parametreleri'!$G$11:$G$24,MATCH(F358,'Sac Parametreleri'!$A$11:$A$24,0)),INDEX('Sac Parametreleri'!$E$11:$E$24,MATCH(F358,'Sac Parametreleri'!$A$11:$A$24,0)))</f>
        <v>62.800000000000004</v>
      </c>
      <c r="Q358" s="181">
        <f>INDEX('Sac Parametreleri'!$F$11:$F$24,MATCH(F358,'Sac Parametreleri'!$A$11:$A$24,0))</f>
        <v>25.690909090909091</v>
      </c>
      <c r="R358" s="182">
        <f t="shared" si="26"/>
        <v>0.42205714722838139</v>
      </c>
      <c r="S358" s="182">
        <f t="shared" si="27"/>
        <v>0.42205714722838139</v>
      </c>
      <c r="T358" s="139">
        <f>K358*F358*'Sac Parametreleri'!$B$6*G358</f>
        <v>0.46699649999999998</v>
      </c>
      <c r="U358" s="139">
        <f>N358*F358*'Sac Parametreleri'!$B$6*G358</f>
        <v>0.10251142682926825</v>
      </c>
      <c r="V358" s="139">
        <f>M358*F358*'Sac Parametreleri'!$B$6*G358</f>
        <v>0.56950792682926821</v>
      </c>
      <c r="W358" s="135" t="s">
        <v>1520</v>
      </c>
    </row>
    <row r="359" spans="1:23" ht="15" customHeight="1" x14ac:dyDescent="0.25">
      <c r="A359" s="135" t="s">
        <v>441</v>
      </c>
      <c r="B359" s="135">
        <v>1</v>
      </c>
      <c r="C359" s="135" t="s">
        <v>1868</v>
      </c>
      <c r="D359" s="135" t="s">
        <v>1869</v>
      </c>
      <c r="E359" s="135" t="s">
        <v>1552</v>
      </c>
      <c r="F359" s="135">
        <v>3</v>
      </c>
      <c r="G359" s="135">
        <v>12</v>
      </c>
      <c r="H359" s="135" t="s">
        <v>1742</v>
      </c>
      <c r="I359" s="178"/>
      <c r="J359" s="178"/>
      <c r="K359" s="179">
        <v>9.214E-3</v>
      </c>
      <c r="L359" s="179">
        <v>0</v>
      </c>
      <c r="M359" s="180">
        <f>K359/(1-'Sac Parametreleri'!$B$27)</f>
        <v>1.1236585365853658E-2</v>
      </c>
      <c r="N359" s="180">
        <f t="shared" si="24"/>
        <v>2.0225853658536585E-3</v>
      </c>
      <c r="O359" s="138">
        <f t="shared" si="25"/>
        <v>0.18</v>
      </c>
      <c r="P359" s="181">
        <f>IF(E359="Hardox 450",INDEX('Sac Parametreleri'!$G$11:$G$24,MATCH(F359,'Sac Parametreleri'!$A$11:$A$24,0)),INDEX('Sac Parametreleri'!$E$11:$E$24,MATCH(F359,'Sac Parametreleri'!$A$11:$A$24,0)))</f>
        <v>18.84</v>
      </c>
      <c r="Q359" s="181">
        <f>INDEX('Sac Parametreleri'!$F$11:$F$24,MATCH(F359,'Sac Parametreleri'!$A$11:$A$24,0))</f>
        <v>7.7072727272727262</v>
      </c>
      <c r="R359" s="182">
        <f t="shared" si="26"/>
        <v>0.1961086512638581</v>
      </c>
      <c r="S359" s="182">
        <f t="shared" si="27"/>
        <v>2.3533038151662971</v>
      </c>
      <c r="T359" s="139">
        <f>K359*F359*'Sac Parametreleri'!$B$6*G359</f>
        <v>2.6038763999999999</v>
      </c>
      <c r="U359" s="139">
        <f>N359*F359*'Sac Parametreleri'!$B$6*G359</f>
        <v>0.57158262439024388</v>
      </c>
      <c r="V359" s="139">
        <f>M359*F359*'Sac Parametreleri'!$B$6*G359</f>
        <v>3.1754590243902436</v>
      </c>
      <c r="W359" s="135" t="s">
        <v>1520</v>
      </c>
    </row>
    <row r="360" spans="1:23" ht="15" customHeight="1" x14ac:dyDescent="0.25">
      <c r="A360" s="135" t="s">
        <v>441</v>
      </c>
      <c r="B360" s="135">
        <v>2</v>
      </c>
      <c r="C360" s="135" t="s">
        <v>783</v>
      </c>
      <c r="D360" s="135" t="s">
        <v>784</v>
      </c>
      <c r="E360" s="135" t="s">
        <v>1552</v>
      </c>
      <c r="F360" s="135">
        <v>3</v>
      </c>
      <c r="G360" s="135">
        <v>2</v>
      </c>
      <c r="H360" s="135" t="s">
        <v>1746</v>
      </c>
      <c r="I360" s="178"/>
      <c r="J360" s="178"/>
      <c r="K360" s="179">
        <v>1.2059E-2</v>
      </c>
      <c r="L360" s="179">
        <v>0</v>
      </c>
      <c r="M360" s="180">
        <f>K360/(1-'Sac Parametreleri'!$B$29)</f>
        <v>1.5283903675538656E-2</v>
      </c>
      <c r="N360" s="180">
        <f t="shared" si="24"/>
        <v>3.2249036755386557E-3</v>
      </c>
      <c r="O360" s="138">
        <f t="shared" si="25"/>
        <v>0.21099999999999997</v>
      </c>
      <c r="P360" s="181">
        <f>IF(E360="Hardox 450",INDEX('Sac Parametreleri'!$G$11:$G$24,MATCH(F360,'Sac Parametreleri'!$A$11:$A$24,0)),INDEX('Sac Parametreleri'!$E$11:$E$24,MATCH(F360,'Sac Parametreleri'!$A$11:$A$24,0)))</f>
        <v>18.84</v>
      </c>
      <c r="Q360" s="181">
        <f>INDEX('Sac Parametreleri'!$F$11:$F$24,MATCH(F360,'Sac Parametreleri'!$A$11:$A$24,0))</f>
        <v>7.7072727272727262</v>
      </c>
      <c r="R360" s="182">
        <f t="shared" si="26"/>
        <v>0.26309353310058758</v>
      </c>
      <c r="S360" s="182">
        <f t="shared" si="27"/>
        <v>0.52618706620117517</v>
      </c>
      <c r="T360" s="139">
        <f>K360*F360*'Sac Parametreleri'!$B$6*G360</f>
        <v>0.56797889999999995</v>
      </c>
      <c r="U360" s="139">
        <f>N360*F360*'Sac Parametreleri'!$B$6*G360</f>
        <v>0.15189296311787068</v>
      </c>
      <c r="V360" s="139">
        <f>M360*F360*'Sac Parametreleri'!$B$6*G360</f>
        <v>0.71987186311787066</v>
      </c>
      <c r="W360" s="135" t="s">
        <v>1520</v>
      </c>
    </row>
    <row r="361" spans="1:23" ht="15" customHeight="1" x14ac:dyDescent="0.25">
      <c r="A361" s="135" t="s">
        <v>441</v>
      </c>
      <c r="B361" s="135">
        <v>3</v>
      </c>
      <c r="C361" s="135" t="s">
        <v>785</v>
      </c>
      <c r="D361" s="135" t="s">
        <v>786</v>
      </c>
      <c r="E361" s="135" t="s">
        <v>1552</v>
      </c>
      <c r="F361" s="135">
        <v>3</v>
      </c>
      <c r="G361" s="135">
        <v>3</v>
      </c>
      <c r="H361" s="135" t="s">
        <v>1746</v>
      </c>
      <c r="I361" s="178"/>
      <c r="J361" s="178"/>
      <c r="K361" s="179">
        <v>1.2824E-2</v>
      </c>
      <c r="L361" s="179">
        <v>0</v>
      </c>
      <c r="M361" s="180">
        <f>K361/(1-'Sac Parametreleri'!$B$29)</f>
        <v>1.6253485424588085E-2</v>
      </c>
      <c r="N361" s="180">
        <f t="shared" si="24"/>
        <v>3.4294854245880847E-3</v>
      </c>
      <c r="O361" s="138">
        <f t="shared" si="25"/>
        <v>0.21099999999999991</v>
      </c>
      <c r="P361" s="181">
        <f>IF(E361="Hardox 450",INDEX('Sac Parametreleri'!$G$11:$G$24,MATCH(F361,'Sac Parametreleri'!$A$11:$A$24,0)),INDEX('Sac Parametreleri'!$E$11:$E$24,MATCH(F361,'Sac Parametreleri'!$A$11:$A$24,0)))</f>
        <v>18.84</v>
      </c>
      <c r="Q361" s="181">
        <f>INDEX('Sac Parametreleri'!$F$11:$F$24,MATCH(F361,'Sac Parametreleri'!$A$11:$A$24,0))</f>
        <v>7.7072727272727262</v>
      </c>
      <c r="R361" s="182">
        <f t="shared" si="26"/>
        <v>0.27978368591773245</v>
      </c>
      <c r="S361" s="182">
        <f t="shared" si="27"/>
        <v>0.83935105775319729</v>
      </c>
      <c r="T361" s="139">
        <f>K361*F361*'Sac Parametreleri'!$B$6*G361</f>
        <v>0.90601559999999992</v>
      </c>
      <c r="U361" s="139">
        <f>N361*F361*'Sac Parametreleri'!$B$6*G361</f>
        <v>0.24229314524714818</v>
      </c>
      <c r="V361" s="139">
        <f>M361*F361*'Sac Parametreleri'!$B$6*G361</f>
        <v>1.1483087452471481</v>
      </c>
      <c r="W361" s="135" t="s">
        <v>1520</v>
      </c>
    </row>
    <row r="362" spans="1:23" ht="15" customHeight="1" x14ac:dyDescent="0.25">
      <c r="A362" s="135" t="s">
        <v>443</v>
      </c>
      <c r="B362" s="135">
        <v>2</v>
      </c>
      <c r="C362" s="135" t="s">
        <v>1870</v>
      </c>
      <c r="D362" s="135" t="s">
        <v>774</v>
      </c>
      <c r="E362" s="135" t="s">
        <v>1552</v>
      </c>
      <c r="F362" s="135">
        <v>10</v>
      </c>
      <c r="G362" s="135">
        <v>1</v>
      </c>
      <c r="H362" s="135" t="s">
        <v>1742</v>
      </c>
      <c r="I362" s="178"/>
      <c r="J362" s="178"/>
      <c r="K362" s="179">
        <v>8.2170000000000003E-3</v>
      </c>
      <c r="L362" s="179">
        <v>0</v>
      </c>
      <c r="M362" s="180">
        <f>K362/(1-'Sac Parametreleri'!$B$27)</f>
        <v>1.0020731707317073E-2</v>
      </c>
      <c r="N362" s="180">
        <f t="shared" si="24"/>
        <v>1.8037317073170724E-3</v>
      </c>
      <c r="O362" s="138">
        <f t="shared" si="25"/>
        <v>0.17999999999999994</v>
      </c>
      <c r="P362" s="181">
        <f>IF(E362="Hardox 450",INDEX('Sac Parametreleri'!$G$11:$G$24,MATCH(F362,'Sac Parametreleri'!$A$11:$A$24,0)),INDEX('Sac Parametreleri'!$E$11:$E$24,MATCH(F362,'Sac Parametreleri'!$A$11:$A$24,0)))</f>
        <v>62.800000000000004</v>
      </c>
      <c r="Q362" s="181">
        <f>INDEX('Sac Parametreleri'!$F$11:$F$24,MATCH(F362,'Sac Parametreleri'!$A$11:$A$24,0))</f>
        <v>25.690909090909091</v>
      </c>
      <c r="R362" s="182">
        <f t="shared" si="26"/>
        <v>0.58296244390243901</v>
      </c>
      <c r="S362" s="182">
        <f t="shared" si="27"/>
        <v>0.58296244390243901</v>
      </c>
      <c r="T362" s="139">
        <f>K362*F362*'Sac Parametreleri'!$B$6*G362</f>
        <v>0.64503450000000007</v>
      </c>
      <c r="U362" s="139">
        <f>N362*F362*'Sac Parametreleri'!$B$6*G362</f>
        <v>0.14159293902439019</v>
      </c>
      <c r="V362" s="139">
        <f>M362*F362*'Sac Parametreleri'!$B$6*G362</f>
        <v>0.78662743902439014</v>
      </c>
      <c r="W362" s="135" t="s">
        <v>1520</v>
      </c>
    </row>
    <row r="363" spans="1:23" ht="15" customHeight="1" x14ac:dyDescent="0.25">
      <c r="A363" s="135" t="s">
        <v>443</v>
      </c>
      <c r="B363" s="135">
        <v>3</v>
      </c>
      <c r="C363" s="135" t="s">
        <v>1871</v>
      </c>
      <c r="D363" s="135" t="s">
        <v>774</v>
      </c>
      <c r="E363" s="135" t="s">
        <v>1552</v>
      </c>
      <c r="F363" s="135">
        <v>5</v>
      </c>
      <c r="G363" s="135">
        <v>1</v>
      </c>
      <c r="H363" s="135" t="s">
        <v>1742</v>
      </c>
      <c r="I363" s="178"/>
      <c r="J363" s="178"/>
      <c r="K363" s="179">
        <v>1.3757999999999999E-2</v>
      </c>
      <c r="L363" s="179">
        <v>0</v>
      </c>
      <c r="M363" s="180">
        <f>K363/(1-'Sac Parametreleri'!$B$27)</f>
        <v>1.6778048780487803E-2</v>
      </c>
      <c r="N363" s="180">
        <f t="shared" si="24"/>
        <v>3.0200487804878037E-3</v>
      </c>
      <c r="O363" s="138">
        <f t="shared" si="25"/>
        <v>0.17999999999999994</v>
      </c>
      <c r="P363" s="181">
        <f>IF(E363="Hardox 450",INDEX('Sac Parametreleri'!$G$11:$G$24,MATCH(F363,'Sac Parametreleri'!$A$11:$A$24,0)),INDEX('Sac Parametreleri'!$E$11:$E$24,MATCH(F363,'Sac Parametreleri'!$A$11:$A$24,0)))</f>
        <v>31.400000000000002</v>
      </c>
      <c r="Q363" s="181">
        <f>INDEX('Sac Parametreleri'!$F$11:$F$24,MATCH(F363,'Sac Parametreleri'!$A$11:$A$24,0))</f>
        <v>12.845454545454546</v>
      </c>
      <c r="R363" s="182">
        <f t="shared" si="26"/>
        <v>0.48803683237250556</v>
      </c>
      <c r="S363" s="182">
        <f t="shared" si="27"/>
        <v>0.48803683237250556</v>
      </c>
      <c r="T363" s="139">
        <f>K363*F363*'Sac Parametreleri'!$B$6*G363</f>
        <v>0.54000149999999991</v>
      </c>
      <c r="U363" s="139">
        <f>N363*F363*'Sac Parametreleri'!$B$6*G363</f>
        <v>0.11853691463414628</v>
      </c>
      <c r="V363" s="139">
        <f>M363*F363*'Sac Parametreleri'!$B$6*G363</f>
        <v>0.6585384146341462</v>
      </c>
      <c r="W363" s="135" t="s">
        <v>1520</v>
      </c>
    </row>
    <row r="364" spans="1:23" ht="15" customHeight="1" x14ac:dyDescent="0.25">
      <c r="A364" s="135" t="s">
        <v>443</v>
      </c>
      <c r="B364" s="135">
        <v>4</v>
      </c>
      <c r="C364" s="135" t="s">
        <v>1872</v>
      </c>
      <c r="D364" s="135" t="s">
        <v>774</v>
      </c>
      <c r="E364" s="135" t="s">
        <v>1552</v>
      </c>
      <c r="F364" s="135">
        <v>4</v>
      </c>
      <c r="G364" s="135">
        <v>1</v>
      </c>
      <c r="H364" s="135" t="s">
        <v>1742</v>
      </c>
      <c r="I364" s="178"/>
      <c r="J364" s="178"/>
      <c r="K364" s="179">
        <v>1.433E-3</v>
      </c>
      <c r="L364" s="179">
        <v>0</v>
      </c>
      <c r="M364" s="180">
        <f>K364/(1-'Sac Parametreleri'!$B$27)</f>
        <v>1.747560975609756E-3</v>
      </c>
      <c r="N364" s="180">
        <f t="shared" si="24"/>
        <v>3.1456097560975593E-4</v>
      </c>
      <c r="O364" s="138">
        <f t="shared" si="25"/>
        <v>0.17999999999999991</v>
      </c>
      <c r="P364" s="181">
        <f>IF(E364="Hardox 450",INDEX('Sac Parametreleri'!$G$11:$G$24,MATCH(F364,'Sac Parametreleri'!$A$11:$A$24,0)),INDEX('Sac Parametreleri'!$E$11:$E$24,MATCH(F364,'Sac Parametreleri'!$A$11:$A$24,0)))</f>
        <v>25.12</v>
      </c>
      <c r="Q364" s="181">
        <f>INDEX('Sac Parametreleri'!$F$11:$F$24,MATCH(F364,'Sac Parametreleri'!$A$11:$A$24,0))</f>
        <v>10.276363636363635</v>
      </c>
      <c r="R364" s="182">
        <f t="shared" si="26"/>
        <v>4.0666188736141903E-2</v>
      </c>
      <c r="S364" s="182">
        <f t="shared" si="27"/>
        <v>4.0666188736141903E-2</v>
      </c>
      <c r="T364" s="139">
        <f>K364*F364*'Sac Parametreleri'!$B$6*G364</f>
        <v>4.49962E-2</v>
      </c>
      <c r="U364" s="139">
        <f>N364*F364*'Sac Parametreleri'!$B$6*G364</f>
        <v>9.8772146341463349E-3</v>
      </c>
      <c r="V364" s="139">
        <f>M364*F364*'Sac Parametreleri'!$B$6*G364</f>
        <v>5.4873414634146335E-2</v>
      </c>
      <c r="W364" s="135" t="s">
        <v>1520</v>
      </c>
    </row>
    <row r="365" spans="1:23" ht="15" customHeight="1" x14ac:dyDescent="0.25">
      <c r="A365" s="135" t="s">
        <v>628</v>
      </c>
      <c r="B365" s="135">
        <v>1</v>
      </c>
      <c r="C365" s="135" t="s">
        <v>810</v>
      </c>
      <c r="D365" s="135" t="s">
        <v>774</v>
      </c>
      <c r="E365" s="135" t="s">
        <v>1552</v>
      </c>
      <c r="F365" s="135">
        <v>5</v>
      </c>
      <c r="G365" s="135">
        <v>1</v>
      </c>
      <c r="H365" s="135" t="s">
        <v>1873</v>
      </c>
      <c r="I365" s="178"/>
      <c r="J365" s="178"/>
      <c r="K365" s="179">
        <v>8.9044999999999999E-2</v>
      </c>
      <c r="L365" s="179">
        <v>0</v>
      </c>
      <c r="M365" s="180">
        <f>K365/(1-'Sac Parametreleri'!$B$29)</f>
        <v>0.11285804816223066</v>
      </c>
      <c r="N365" s="180">
        <f t="shared" si="24"/>
        <v>2.3813048162230663E-2</v>
      </c>
      <c r="O365" s="138">
        <f t="shared" si="25"/>
        <v>0.21099999999999994</v>
      </c>
      <c r="P365" s="181">
        <f>IF(E365="Hardox 450",INDEX('Sac Parametreleri'!$G$11:$G$24,MATCH(F365,'Sac Parametreleri'!$A$11:$A$24,0)),INDEX('Sac Parametreleri'!$E$11:$E$24,MATCH(F365,'Sac Parametreleri'!$A$11:$A$24,0)))</f>
        <v>31.400000000000002</v>
      </c>
      <c r="Q365" s="181">
        <f>INDEX('Sac Parametreleri'!$F$11:$F$24,MATCH(F365,'Sac Parametreleri'!$A$11:$A$24,0))</f>
        <v>12.845454545454546</v>
      </c>
      <c r="R365" s="182">
        <f t="shared" si="26"/>
        <v>3.2378532845373891</v>
      </c>
      <c r="S365" s="182">
        <f t="shared" si="27"/>
        <v>3.2378532845373891</v>
      </c>
      <c r="T365" s="139">
        <f>K365*F365*'Sac Parametreleri'!$B$6*G365</f>
        <v>3.4950162499999995</v>
      </c>
      <c r="U365" s="139">
        <f>N365*F365*'Sac Parametreleri'!$B$6*G365</f>
        <v>0.93466214036755346</v>
      </c>
      <c r="V365" s="139">
        <f>M365*F365*'Sac Parametreleri'!$B$6*G365</f>
        <v>4.4296783903675534</v>
      </c>
      <c r="W365" s="135" t="s">
        <v>1520</v>
      </c>
    </row>
    <row r="366" spans="1:23" ht="15" customHeight="1" x14ac:dyDescent="0.25">
      <c r="A366" s="135" t="s">
        <v>628</v>
      </c>
      <c r="B366" s="135">
        <v>2</v>
      </c>
      <c r="C366" s="135" t="s">
        <v>775</v>
      </c>
      <c r="D366" s="135" t="s">
        <v>774</v>
      </c>
      <c r="E366" s="135" t="s">
        <v>1552</v>
      </c>
      <c r="F366" s="135">
        <v>5</v>
      </c>
      <c r="G366" s="135">
        <v>1</v>
      </c>
      <c r="H366" s="135" t="s">
        <v>1742</v>
      </c>
      <c r="I366" s="178"/>
      <c r="J366" s="178"/>
      <c r="K366" s="179">
        <v>1.4089000000000001E-2</v>
      </c>
      <c r="L366" s="179">
        <v>0</v>
      </c>
      <c r="M366" s="180">
        <f>K366/(1-'Sac Parametreleri'!$B$27)</f>
        <v>1.7181707317073171E-2</v>
      </c>
      <c r="N366" s="180">
        <f t="shared" si="24"/>
        <v>3.0927073170731699E-3</v>
      </c>
      <c r="O366" s="138">
        <f t="shared" si="25"/>
        <v>0.17999999999999994</v>
      </c>
      <c r="P366" s="181">
        <f>IF(E366="Hardox 450",INDEX('Sac Parametreleri'!$G$11:$G$24,MATCH(F366,'Sac Parametreleri'!$A$11:$A$24,0)),INDEX('Sac Parametreleri'!$E$11:$E$24,MATCH(F366,'Sac Parametreleri'!$A$11:$A$24,0)))</f>
        <v>31.400000000000002</v>
      </c>
      <c r="Q366" s="181">
        <f>INDEX('Sac Parametreleri'!$F$11:$F$24,MATCH(F366,'Sac Parametreleri'!$A$11:$A$24,0))</f>
        <v>12.845454545454546</v>
      </c>
      <c r="R366" s="182">
        <f t="shared" si="26"/>
        <v>0.49977837849223955</v>
      </c>
      <c r="S366" s="182">
        <f t="shared" si="27"/>
        <v>0.49977837849223955</v>
      </c>
      <c r="T366" s="139">
        <f>K366*F366*'Sac Parametreleri'!$B$6*G366</f>
        <v>0.55299324999999999</v>
      </c>
      <c r="U366" s="139">
        <f>N366*F366*'Sac Parametreleri'!$B$6*G366</f>
        <v>0.12138876219512192</v>
      </c>
      <c r="V366" s="139">
        <f>M366*F366*'Sac Parametreleri'!$B$6*G366</f>
        <v>0.67438201219512184</v>
      </c>
      <c r="W366" s="135" t="s">
        <v>1520</v>
      </c>
    </row>
    <row r="367" spans="1:23" ht="15" customHeight="1" x14ac:dyDescent="0.25">
      <c r="A367" s="135" t="s">
        <v>253</v>
      </c>
      <c r="B367" s="135">
        <v>1</v>
      </c>
      <c r="C367" s="135" t="s">
        <v>1874</v>
      </c>
      <c r="D367" s="135" t="s">
        <v>1875</v>
      </c>
      <c r="E367" s="135" t="s">
        <v>1552</v>
      </c>
      <c r="F367" s="135">
        <v>10</v>
      </c>
      <c r="G367" s="135">
        <v>1</v>
      </c>
      <c r="H367" s="135" t="s">
        <v>1742</v>
      </c>
      <c r="I367" s="178"/>
      <c r="J367" s="178"/>
      <c r="K367" s="179">
        <v>1.8305999999999999E-2</v>
      </c>
      <c r="L367" s="179">
        <v>0</v>
      </c>
      <c r="M367" s="180">
        <f>K367/(1-'Sac Parametreleri'!$B$27)</f>
        <v>2.2324390243902436E-2</v>
      </c>
      <c r="N367" s="180">
        <f t="shared" si="24"/>
        <v>4.0183902439024366E-3</v>
      </c>
      <c r="O367" s="138">
        <f t="shared" si="25"/>
        <v>0.17999999999999991</v>
      </c>
      <c r="P367" s="181">
        <f>IF(E367="Hardox 450",INDEX('Sac Parametreleri'!$G$11:$G$24,MATCH(F367,'Sac Parametreleri'!$A$11:$A$24,0)),INDEX('Sac Parametreleri'!$E$11:$E$24,MATCH(F367,'Sac Parametreleri'!$A$11:$A$24,0)))</f>
        <v>62.800000000000004</v>
      </c>
      <c r="Q367" s="181">
        <f>INDEX('Sac Parametreleri'!$F$11:$F$24,MATCH(F367,'Sac Parametreleri'!$A$11:$A$24,0))</f>
        <v>25.690909090909091</v>
      </c>
      <c r="R367" s="182">
        <f t="shared" si="26"/>
        <v>1.2987356088691795</v>
      </c>
      <c r="S367" s="182">
        <f t="shared" si="27"/>
        <v>1.2987356088691795</v>
      </c>
      <c r="T367" s="139">
        <f>K367*F367*'Sac Parametreleri'!$B$6*G367</f>
        <v>1.4370209999999999</v>
      </c>
      <c r="U367" s="139">
        <f>N367*F367*'Sac Parametreleri'!$B$6*G367</f>
        <v>0.31544363414634125</v>
      </c>
      <c r="V367" s="139">
        <f>M367*F367*'Sac Parametreleri'!$B$6*G367</f>
        <v>1.7524646341463412</v>
      </c>
      <c r="W367" s="135" t="s">
        <v>1520</v>
      </c>
    </row>
    <row r="368" spans="1:23" ht="15" customHeight="1" x14ac:dyDescent="0.25">
      <c r="A368" s="135" t="s">
        <v>253</v>
      </c>
      <c r="B368" s="135">
        <v>2</v>
      </c>
      <c r="C368" s="135" t="s">
        <v>1876</v>
      </c>
      <c r="D368" s="135" t="s">
        <v>1877</v>
      </c>
      <c r="E368" s="135" t="s">
        <v>1552</v>
      </c>
      <c r="F368" s="135">
        <v>10</v>
      </c>
      <c r="G368" s="135">
        <v>2</v>
      </c>
      <c r="H368" s="135" t="s">
        <v>1742</v>
      </c>
      <c r="I368" s="178"/>
      <c r="J368" s="178"/>
      <c r="K368" s="179">
        <v>1.6497000000000001E-2</v>
      </c>
      <c r="L368" s="179">
        <v>0</v>
      </c>
      <c r="M368" s="180">
        <f>K368/(1-'Sac Parametreleri'!$B$27)</f>
        <v>2.0118292682926829E-2</v>
      </c>
      <c r="N368" s="180">
        <f t="shared" si="24"/>
        <v>3.6212926829268278E-3</v>
      </c>
      <c r="O368" s="138">
        <f t="shared" si="25"/>
        <v>0.17999999999999994</v>
      </c>
      <c r="P368" s="181">
        <f>IF(E368="Hardox 450",INDEX('Sac Parametreleri'!$G$11:$G$24,MATCH(F368,'Sac Parametreleri'!$A$11:$A$24,0)),INDEX('Sac Parametreleri'!$E$11:$E$24,MATCH(F368,'Sac Parametreleri'!$A$11:$A$24,0)))</f>
        <v>62.800000000000004</v>
      </c>
      <c r="Q368" s="181">
        <f>INDEX('Sac Parametreleri'!$F$11:$F$24,MATCH(F368,'Sac Parametreleri'!$A$11:$A$24,0))</f>
        <v>25.690909090909091</v>
      </c>
      <c r="R368" s="182">
        <f t="shared" si="26"/>
        <v>1.1703944793791576</v>
      </c>
      <c r="S368" s="182">
        <f t="shared" si="27"/>
        <v>2.3407889587583153</v>
      </c>
      <c r="T368" s="139">
        <f>K368*F368*'Sac Parametreleri'!$B$6*G368</f>
        <v>2.5900289999999999</v>
      </c>
      <c r="U368" s="139">
        <f>N368*F368*'Sac Parametreleri'!$B$6*G368</f>
        <v>0.56854295121951193</v>
      </c>
      <c r="V368" s="139">
        <f>M368*F368*'Sac Parametreleri'!$B$6*G368</f>
        <v>3.1585719512195123</v>
      </c>
      <c r="W368" s="135" t="s">
        <v>1520</v>
      </c>
    </row>
    <row r="369" spans="1:24" ht="15" customHeight="1" x14ac:dyDescent="0.25">
      <c r="A369" s="135" t="s">
        <v>575</v>
      </c>
      <c r="B369" s="135">
        <v>2</v>
      </c>
      <c r="C369" s="135" t="s">
        <v>1855</v>
      </c>
      <c r="D369" s="135" t="s">
        <v>1878</v>
      </c>
      <c r="E369" s="135" t="s">
        <v>1552</v>
      </c>
      <c r="F369" s="135">
        <v>10</v>
      </c>
      <c r="G369" s="135">
        <v>2</v>
      </c>
      <c r="H369" s="135" t="s">
        <v>1742</v>
      </c>
      <c r="I369" s="178"/>
      <c r="J369" s="178"/>
      <c r="K369" s="179">
        <v>3.3500000000000001E-3</v>
      </c>
      <c r="L369" s="179">
        <v>0</v>
      </c>
      <c r="M369" s="180">
        <f>K369/(1-'Sac Parametreleri'!$B$27)</f>
        <v>4.0853658536585367E-3</v>
      </c>
      <c r="N369" s="180">
        <f t="shared" si="24"/>
        <v>7.3536585365853663E-4</v>
      </c>
      <c r="O369" s="138">
        <f t="shared" si="25"/>
        <v>0.18</v>
      </c>
      <c r="P369" s="181">
        <f>IF(E369="Hardox 450",INDEX('Sac Parametreleri'!$G$11:$G$24,MATCH(F369,'Sac Parametreleri'!$A$11:$A$24,0)),INDEX('Sac Parametreleri'!$E$11:$E$24,MATCH(F369,'Sac Parametreleri'!$A$11:$A$24,0)))</f>
        <v>62.800000000000004</v>
      </c>
      <c r="Q369" s="181">
        <f>INDEX('Sac Parametreleri'!$F$11:$F$24,MATCH(F369,'Sac Parametreleri'!$A$11:$A$24,0))</f>
        <v>25.690909090909091</v>
      </c>
      <c r="R369" s="182">
        <f t="shared" si="26"/>
        <v>0.23766875831485587</v>
      </c>
      <c r="S369" s="182">
        <f t="shared" si="27"/>
        <v>0.47533751662971174</v>
      </c>
      <c r="T369" s="139">
        <f>K369*F369*'Sac Parametreleri'!$B$6*G369</f>
        <v>0.52595000000000003</v>
      </c>
      <c r="U369" s="139">
        <f>N369*F369*'Sac Parametreleri'!$B$6*G369</f>
        <v>0.11545243902439024</v>
      </c>
      <c r="V369" s="139">
        <f>M369*F369*'Sac Parametreleri'!$B$6*G369</f>
        <v>0.6414024390243902</v>
      </c>
      <c r="W369" s="135" t="s">
        <v>1520</v>
      </c>
    </row>
    <row r="370" spans="1:24" ht="15" customHeight="1" x14ac:dyDescent="0.25">
      <c r="A370" s="135" t="s">
        <v>501</v>
      </c>
      <c r="B370" s="135">
        <v>1</v>
      </c>
      <c r="C370" s="135" t="s">
        <v>883</v>
      </c>
      <c r="D370" s="135" t="s">
        <v>884</v>
      </c>
      <c r="E370" s="135" t="s">
        <v>1552</v>
      </c>
      <c r="F370" s="135">
        <v>3</v>
      </c>
      <c r="G370" s="135">
        <v>1</v>
      </c>
      <c r="H370" s="135" t="s">
        <v>1765</v>
      </c>
      <c r="I370" s="178"/>
      <c r="J370" s="178"/>
      <c r="K370" s="179">
        <v>0.14955399999999999</v>
      </c>
      <c r="L370" s="179">
        <v>0</v>
      </c>
      <c r="M370" s="180">
        <f>K370/(1-'Sac Parametreleri'!$B$29)</f>
        <v>0.18954879594423318</v>
      </c>
      <c r="N370" s="180">
        <f t="shared" si="24"/>
        <v>3.9994795944233191E-2</v>
      </c>
      <c r="O370" s="138">
        <f t="shared" si="25"/>
        <v>0.21099999999999994</v>
      </c>
      <c r="P370" s="181">
        <f>IF(E370="Hardox 450",INDEX('Sac Parametreleri'!$G$11:$G$24,MATCH(F370,'Sac Parametreleri'!$A$11:$A$24,0)),INDEX('Sac Parametreleri'!$E$11:$E$24,MATCH(F370,'Sac Parametreleri'!$A$11:$A$24,0)))</f>
        <v>18.84</v>
      </c>
      <c r="Q370" s="181">
        <f>INDEX('Sac Parametreleri'!$F$11:$F$24,MATCH(F370,'Sac Parametreleri'!$A$11:$A$24,0))</f>
        <v>7.7072727272727262</v>
      </c>
      <c r="R370" s="182">
        <f t="shared" si="26"/>
        <v>3.2628485155755267</v>
      </c>
      <c r="S370" s="182">
        <f t="shared" si="27"/>
        <v>3.2628485155755267</v>
      </c>
      <c r="T370" s="139">
        <f>K370*F370*'Sac Parametreleri'!$B$6*G370</f>
        <v>3.5219966999999999</v>
      </c>
      <c r="U370" s="139">
        <f>N370*F370*'Sac Parametreleri'!$B$6*G370</f>
        <v>0.94187744448669164</v>
      </c>
      <c r="V370" s="139">
        <f>M370*F370*'Sac Parametreleri'!$B$6*G370</f>
        <v>4.4638741444866907</v>
      </c>
      <c r="W370" s="135" t="s">
        <v>1520</v>
      </c>
    </row>
    <row r="371" spans="1:24" ht="21.75" customHeight="1" x14ac:dyDescent="0.25">
      <c r="A371" s="125" t="s">
        <v>501</v>
      </c>
      <c r="B371" s="125">
        <v>2</v>
      </c>
      <c r="C371" s="125" t="s">
        <v>1818</v>
      </c>
      <c r="D371" s="125" t="s">
        <v>1879</v>
      </c>
      <c r="E371" s="125" t="s">
        <v>1552</v>
      </c>
      <c r="F371" s="125">
        <v>5</v>
      </c>
      <c r="G371" s="125">
        <v>1</v>
      </c>
      <c r="H371" s="125" t="s">
        <v>1772</v>
      </c>
      <c r="I371" s="164">
        <v>300</v>
      </c>
      <c r="J371" s="164">
        <v>45</v>
      </c>
      <c r="K371" s="165">
        <v>8.5319999999999997E-3</v>
      </c>
      <c r="L371" s="165">
        <v>0</v>
      </c>
      <c r="M371" s="166">
        <f>I371*J371/1000000</f>
        <v>1.35E-2</v>
      </c>
      <c r="N371" s="166">
        <f t="shared" si="24"/>
        <v>4.9680000000000002E-3</v>
      </c>
      <c r="O371" s="128">
        <f t="shared" si="25"/>
        <v>0.36799999999999999</v>
      </c>
      <c r="P371" s="167">
        <f>IF(E371="Hardox 450",INDEX('Sac Parametreleri'!$G$11:$G$24,MATCH(F371,'Sac Parametreleri'!$A$11:$A$24,0)),INDEX('Sac Parametreleri'!$E$11:$E$24,MATCH(F371,'Sac Parametreleri'!$A$11:$A$24,0)))</f>
        <v>31.400000000000002</v>
      </c>
      <c r="Q371" s="167">
        <f>INDEX('Sac Parametreleri'!$F$11:$F$24,MATCH(F371,'Sac Parametreleri'!$A$11:$A$24,0))</f>
        <v>12.845454545454546</v>
      </c>
      <c r="R371" s="168">
        <f t="shared" si="26"/>
        <v>0.36008378181818179</v>
      </c>
      <c r="S371" s="168">
        <f t="shared" si="27"/>
        <v>0.36008378181818179</v>
      </c>
      <c r="T371" s="129">
        <f>K371*F371*'Sac Parametreleri'!$B$6*G371</f>
        <v>0.33488099999999998</v>
      </c>
      <c r="U371" s="129">
        <f>N371*F371*'Sac Parametreleri'!$B$6*G371</f>
        <v>0.194994</v>
      </c>
      <c r="V371" s="129">
        <f>M371*F371*'Sac Parametreleri'!$B$6*G371</f>
        <v>0.52987499999999998</v>
      </c>
      <c r="W371" s="125" t="s">
        <v>1520</v>
      </c>
      <c r="X371" s="169" t="s">
        <v>1820</v>
      </c>
    </row>
    <row r="372" spans="1:24" ht="15" customHeight="1" x14ac:dyDescent="0.25">
      <c r="A372" s="135" t="s">
        <v>505</v>
      </c>
      <c r="B372" s="135">
        <v>1</v>
      </c>
      <c r="C372" s="135" t="s">
        <v>982</v>
      </c>
      <c r="D372" s="135" t="s">
        <v>983</v>
      </c>
      <c r="E372" s="135" t="s">
        <v>1552</v>
      </c>
      <c r="F372" s="135">
        <v>6</v>
      </c>
      <c r="G372" s="135">
        <v>1</v>
      </c>
      <c r="H372" s="135" t="s">
        <v>1746</v>
      </c>
      <c r="I372" s="178"/>
      <c r="J372" s="178"/>
      <c r="K372" s="179">
        <v>7.4437000000000003E-2</v>
      </c>
      <c r="L372" s="179">
        <v>0</v>
      </c>
      <c r="M372" s="180">
        <f>K372/(1-'Sac Parametreleri'!$B$29)</f>
        <v>9.4343472750316862E-2</v>
      </c>
      <c r="N372" s="180">
        <f t="shared" si="24"/>
        <v>1.9906472750316859E-2</v>
      </c>
      <c r="O372" s="138">
        <f t="shared" si="25"/>
        <v>0.21100000000000002</v>
      </c>
      <c r="P372" s="181">
        <f>IF(E372="Hardox 450",INDEX('Sac Parametreleri'!$G$11:$G$24,MATCH(F372,'Sac Parametreleri'!$A$11:$A$24,0)),INDEX('Sac Parametreleri'!$E$11:$E$24,MATCH(F372,'Sac Parametreleri'!$A$11:$A$24,0)))</f>
        <v>37.68</v>
      </c>
      <c r="Q372" s="181">
        <f>INDEX('Sac Parametreleri'!$F$11:$F$24,MATCH(F372,'Sac Parametreleri'!$A$11:$A$24,0))</f>
        <v>15.414545454545452</v>
      </c>
      <c r="R372" s="182">
        <f t="shared" si="26"/>
        <v>3.2480128241825095</v>
      </c>
      <c r="S372" s="182">
        <f t="shared" si="27"/>
        <v>3.2480128241825095</v>
      </c>
      <c r="T372" s="139">
        <f>K372*F372*'Sac Parametreleri'!$B$6*G372</f>
        <v>3.5059827000000001</v>
      </c>
      <c r="U372" s="139">
        <f>N372*F372*'Sac Parametreleri'!$B$6*G372</f>
        <v>0.93759486653992397</v>
      </c>
      <c r="V372" s="139">
        <f>M372*F372*'Sac Parametreleri'!$B$6*G372</f>
        <v>4.4435775665399246</v>
      </c>
      <c r="W372" s="135" t="s">
        <v>1520</v>
      </c>
    </row>
    <row r="373" spans="1:24" ht="15" customHeight="1" x14ac:dyDescent="0.25">
      <c r="A373" s="135" t="s">
        <v>505</v>
      </c>
      <c r="B373" s="135">
        <v>2</v>
      </c>
      <c r="C373" s="135" t="s">
        <v>984</v>
      </c>
      <c r="D373" s="135" t="s">
        <v>774</v>
      </c>
      <c r="E373" s="135" t="s">
        <v>1552</v>
      </c>
      <c r="F373" s="135">
        <v>6</v>
      </c>
      <c r="G373" s="135">
        <v>2</v>
      </c>
      <c r="H373" s="135" t="s">
        <v>1746</v>
      </c>
      <c r="I373" s="178"/>
      <c r="J373" s="178"/>
      <c r="K373" s="179">
        <v>3.588E-3</v>
      </c>
      <c r="L373" s="179">
        <v>0</v>
      </c>
      <c r="M373" s="180">
        <f>K373/(1-'Sac Parametreleri'!$B$29)</f>
        <v>4.5475285171102664E-3</v>
      </c>
      <c r="N373" s="180">
        <f t="shared" si="24"/>
        <v>9.5952851711026636E-4</v>
      </c>
      <c r="O373" s="138">
        <f t="shared" si="25"/>
        <v>0.21100000000000002</v>
      </c>
      <c r="P373" s="181">
        <f>IF(E373="Hardox 450",INDEX('Sac Parametreleri'!$G$11:$G$24,MATCH(F373,'Sac Parametreleri'!$A$11:$A$24,0)),INDEX('Sac Parametreleri'!$E$11:$E$24,MATCH(F373,'Sac Parametreleri'!$A$11:$A$24,0)))</f>
        <v>37.68</v>
      </c>
      <c r="Q373" s="181">
        <f>INDEX('Sac Parametreleri'!$F$11:$F$24,MATCH(F373,'Sac Parametreleri'!$A$11:$A$24,0))</f>
        <v>15.414545454545452</v>
      </c>
      <c r="R373" s="182">
        <f t="shared" si="26"/>
        <v>0.15656017858278604</v>
      </c>
      <c r="S373" s="182">
        <f t="shared" si="27"/>
        <v>0.31312035716557207</v>
      </c>
      <c r="T373" s="139">
        <f>K373*F373*'Sac Parametreleri'!$B$6*G373</f>
        <v>0.33798959999999995</v>
      </c>
      <c r="U373" s="139">
        <f>N373*F373*'Sac Parametreleri'!$B$6*G373</f>
        <v>9.0387586311787088E-2</v>
      </c>
      <c r="V373" s="139">
        <f>M373*F373*'Sac Parametreleri'!$B$6*G373</f>
        <v>0.42837718631178706</v>
      </c>
      <c r="W373" s="135" t="s">
        <v>1520</v>
      </c>
    </row>
    <row r="374" spans="1:24" ht="15" customHeight="1" x14ac:dyDescent="0.25">
      <c r="A374" s="135" t="s">
        <v>567</v>
      </c>
      <c r="B374" s="135">
        <v>1</v>
      </c>
      <c r="C374" s="135" t="s">
        <v>1880</v>
      </c>
      <c r="D374" s="135" t="s">
        <v>1881</v>
      </c>
      <c r="E374" s="135" t="s">
        <v>1552</v>
      </c>
      <c r="F374" s="135">
        <v>10</v>
      </c>
      <c r="G374" s="135">
        <v>1</v>
      </c>
      <c r="H374" s="135" t="s">
        <v>1742</v>
      </c>
      <c r="I374" s="178"/>
      <c r="J374" s="178"/>
      <c r="K374" s="179">
        <v>7.0699999999999999E-3</v>
      </c>
      <c r="L374" s="179">
        <v>0</v>
      </c>
      <c r="M374" s="180">
        <f>K374/(1-'Sac Parametreleri'!$B$27)</f>
        <v>8.6219512195121941E-3</v>
      </c>
      <c r="N374" s="180">
        <f t="shared" si="24"/>
        <v>1.5519512195121942E-3</v>
      </c>
      <c r="O374" s="138">
        <f t="shared" si="25"/>
        <v>0.17999999999999991</v>
      </c>
      <c r="P374" s="181">
        <f>IF(E374="Hardox 450",INDEX('Sac Parametreleri'!$G$11:$G$24,MATCH(F374,'Sac Parametreleri'!$A$11:$A$24,0)),INDEX('Sac Parametreleri'!$E$11:$E$24,MATCH(F374,'Sac Parametreleri'!$A$11:$A$24,0)))</f>
        <v>62.800000000000004</v>
      </c>
      <c r="Q374" s="181">
        <f>INDEX('Sac Parametreleri'!$F$11:$F$24,MATCH(F374,'Sac Parametreleri'!$A$11:$A$24,0))</f>
        <v>25.690909090909091</v>
      </c>
      <c r="R374" s="182">
        <f t="shared" si="26"/>
        <v>0.50158749889135257</v>
      </c>
      <c r="S374" s="182">
        <f t="shared" si="27"/>
        <v>0.50158749889135257</v>
      </c>
      <c r="T374" s="139">
        <f>K374*F374*'Sac Parametreleri'!$B$6*G374</f>
        <v>0.55499500000000002</v>
      </c>
      <c r="U374" s="139">
        <f>N374*F374*'Sac Parametreleri'!$B$6*G374</f>
        <v>0.12182817073170724</v>
      </c>
      <c r="V374" s="139">
        <f>M374*F374*'Sac Parametreleri'!$B$6*G374</f>
        <v>0.67682317073170728</v>
      </c>
      <c r="W374" s="135" t="s">
        <v>1520</v>
      </c>
    </row>
    <row r="375" spans="1:24" ht="15" customHeight="1" x14ac:dyDescent="0.25">
      <c r="A375" s="135" t="s">
        <v>599</v>
      </c>
      <c r="B375" s="135">
        <v>1</v>
      </c>
      <c r="C375" s="135" t="s">
        <v>801</v>
      </c>
      <c r="D375" s="135" t="s">
        <v>802</v>
      </c>
      <c r="E375" s="135" t="s">
        <v>1552</v>
      </c>
      <c r="F375" s="135">
        <v>6</v>
      </c>
      <c r="G375" s="135">
        <v>1</v>
      </c>
      <c r="H375" s="135" t="s">
        <v>1765</v>
      </c>
      <c r="I375" s="178"/>
      <c r="J375" s="178"/>
      <c r="K375" s="179">
        <v>6.2357000000000003E-2</v>
      </c>
      <c r="L375" s="179">
        <v>0</v>
      </c>
      <c r="M375" s="180">
        <f>K375/(1-'Sac Parametreleri'!$B$29)</f>
        <v>7.9032953105196452E-2</v>
      </c>
      <c r="N375" s="180">
        <f t="shared" si="24"/>
        <v>1.6675953105196449E-2</v>
      </c>
      <c r="O375" s="138">
        <f t="shared" si="25"/>
        <v>0.21099999999999997</v>
      </c>
      <c r="P375" s="181">
        <f>IF(E375="Hardox 450",INDEX('Sac Parametreleri'!$G$11:$G$24,MATCH(F375,'Sac Parametreleri'!$A$11:$A$24,0)),INDEX('Sac Parametreleri'!$E$11:$E$24,MATCH(F375,'Sac Parametreleri'!$A$11:$A$24,0)))</f>
        <v>37.68</v>
      </c>
      <c r="Q375" s="181">
        <f>INDEX('Sac Parametreleri'!$F$11:$F$24,MATCH(F375,'Sac Parametreleri'!$A$11:$A$24,0))</f>
        <v>15.414545454545452</v>
      </c>
      <c r="R375" s="182">
        <f t="shared" si="26"/>
        <v>2.7209094358658832</v>
      </c>
      <c r="S375" s="182">
        <f t="shared" si="27"/>
        <v>2.7209094358658832</v>
      </c>
      <c r="T375" s="139">
        <f>K375*F375*'Sac Parametreleri'!$B$6*G375</f>
        <v>2.9370147000000002</v>
      </c>
      <c r="U375" s="139">
        <f>N375*F375*'Sac Parametreleri'!$B$6*G375</f>
        <v>0.78543739125475276</v>
      </c>
      <c r="V375" s="139">
        <f>M375*F375*'Sac Parametreleri'!$B$6*G375</f>
        <v>3.7224520912547527</v>
      </c>
      <c r="W375" s="135" t="s">
        <v>1520</v>
      </c>
    </row>
    <row r="376" spans="1:24" ht="15" customHeight="1" x14ac:dyDescent="0.25">
      <c r="A376" s="135" t="s">
        <v>599</v>
      </c>
      <c r="B376" s="135">
        <v>2</v>
      </c>
      <c r="C376" s="135" t="s">
        <v>1882</v>
      </c>
      <c r="D376" s="135" t="s">
        <v>1883</v>
      </c>
      <c r="E376" s="135" t="s">
        <v>1552</v>
      </c>
      <c r="F376" s="135">
        <v>6</v>
      </c>
      <c r="G376" s="135">
        <v>4</v>
      </c>
      <c r="H376" s="135" t="s">
        <v>1742</v>
      </c>
      <c r="I376" s="178"/>
      <c r="J376" s="178"/>
      <c r="K376" s="179">
        <v>4.1609999999999998E-3</v>
      </c>
      <c r="L376" s="179">
        <v>0</v>
      </c>
      <c r="M376" s="180">
        <f>K376/(1-'Sac Parametreleri'!$B$27)</f>
        <v>5.074390243902438E-3</v>
      </c>
      <c r="N376" s="180">
        <f t="shared" si="24"/>
        <v>9.1339024390243821E-4</v>
      </c>
      <c r="O376" s="138">
        <f t="shared" si="25"/>
        <v>0.17999999999999988</v>
      </c>
      <c r="P376" s="181">
        <f>IF(E376="Hardox 450",INDEX('Sac Parametreleri'!$G$11:$G$24,MATCH(F376,'Sac Parametreleri'!$A$11:$A$24,0)),INDEX('Sac Parametreleri'!$E$11:$E$24,MATCH(F376,'Sac Parametreleri'!$A$11:$A$24,0)))</f>
        <v>37.68</v>
      </c>
      <c r="Q376" s="181">
        <f>INDEX('Sac Parametreleri'!$F$11:$F$24,MATCH(F376,'Sac Parametreleri'!$A$11:$A$24,0))</f>
        <v>15.414545454545452</v>
      </c>
      <c r="R376" s="182">
        <f t="shared" si="26"/>
        <v>0.17712352895787137</v>
      </c>
      <c r="S376" s="182">
        <f t="shared" si="27"/>
        <v>0.70849411583148547</v>
      </c>
      <c r="T376" s="139">
        <f>K376*F376*'Sac Parametreleri'!$B$6*G376</f>
        <v>0.78393239999999997</v>
      </c>
      <c r="U376" s="139">
        <f>N376*F376*'Sac Parametreleri'!$B$6*G376</f>
        <v>0.17208272195121935</v>
      </c>
      <c r="V376" s="139">
        <f>M376*F376*'Sac Parametreleri'!$B$6*G376</f>
        <v>0.95601512195121929</v>
      </c>
      <c r="W376" s="135" t="s">
        <v>1520</v>
      </c>
    </row>
    <row r="377" spans="1:24" ht="15" customHeight="1" x14ac:dyDescent="0.25">
      <c r="A377" s="135" t="s">
        <v>621</v>
      </c>
      <c r="B377" s="135">
        <v>1</v>
      </c>
      <c r="C377" s="135" t="s">
        <v>827</v>
      </c>
      <c r="D377" s="135" t="s">
        <v>749</v>
      </c>
      <c r="E377" s="135" t="s">
        <v>1552</v>
      </c>
      <c r="F377" s="135">
        <v>8</v>
      </c>
      <c r="G377" s="135">
        <v>1</v>
      </c>
      <c r="H377" s="135" t="s">
        <v>1765</v>
      </c>
      <c r="I377" s="178"/>
      <c r="J377" s="178"/>
      <c r="K377" s="179">
        <v>5.4522000000000001E-2</v>
      </c>
      <c r="L377" s="179">
        <v>0</v>
      </c>
      <c r="M377" s="180">
        <f>K377/(1-'Sac Parametreleri'!$B$29)</f>
        <v>6.9102661596958173E-2</v>
      </c>
      <c r="N377" s="180">
        <f t="shared" si="24"/>
        <v>1.4580661596958172E-2</v>
      </c>
      <c r="O377" s="138">
        <f t="shared" si="25"/>
        <v>0.21099999999999997</v>
      </c>
      <c r="P377" s="181">
        <f>IF(E377="Hardox 450",INDEX('Sac Parametreleri'!$G$11:$G$24,MATCH(F377,'Sac Parametreleri'!$A$11:$A$24,0)),INDEX('Sac Parametreleri'!$E$11:$E$24,MATCH(F377,'Sac Parametreleri'!$A$11:$A$24,0)))</f>
        <v>50.24</v>
      </c>
      <c r="Q377" s="181">
        <f>INDEX('Sac Parametreleri'!$F$11:$F$24,MATCH(F377,'Sac Parametreleri'!$A$11:$A$24,0))</f>
        <v>20.552727272727271</v>
      </c>
      <c r="R377" s="182">
        <f t="shared" si="26"/>
        <v>3.1720453573729697</v>
      </c>
      <c r="S377" s="182">
        <f t="shared" si="27"/>
        <v>3.1720453573729697</v>
      </c>
      <c r="T377" s="139">
        <f>K377*F377*'Sac Parametreleri'!$B$6*G377</f>
        <v>3.4239815999999998</v>
      </c>
      <c r="U377" s="139">
        <f>N377*F377*'Sac Parametreleri'!$B$6*G377</f>
        <v>0.91566554828897317</v>
      </c>
      <c r="V377" s="139">
        <f>M377*F377*'Sac Parametreleri'!$B$6*G377</f>
        <v>4.3396471482889734</v>
      </c>
      <c r="W377" s="135" t="s">
        <v>1520</v>
      </c>
    </row>
    <row r="378" spans="1:24" ht="15" customHeight="1" x14ac:dyDescent="0.25">
      <c r="A378" s="135" t="s">
        <v>621</v>
      </c>
      <c r="B378" s="135">
        <v>2</v>
      </c>
      <c r="C378" s="135" t="s">
        <v>1884</v>
      </c>
      <c r="D378" s="135" t="s">
        <v>749</v>
      </c>
      <c r="E378" s="135" t="s">
        <v>1552</v>
      </c>
      <c r="F378" s="135">
        <v>8</v>
      </c>
      <c r="G378" s="135">
        <v>1</v>
      </c>
      <c r="H378" s="135" t="s">
        <v>1742</v>
      </c>
      <c r="I378" s="178"/>
      <c r="J378" s="178"/>
      <c r="K378" s="179">
        <v>3.4710000000000001E-3</v>
      </c>
      <c r="L378" s="179">
        <v>0</v>
      </c>
      <c r="M378" s="180">
        <f>K378/(1-'Sac Parametreleri'!$B$27)</f>
        <v>4.2329268292682926E-3</v>
      </c>
      <c r="N378" s="180">
        <f t="shared" si="24"/>
        <v>7.619268292682925E-4</v>
      </c>
      <c r="O378" s="138">
        <f t="shared" si="25"/>
        <v>0.17999999999999997</v>
      </c>
      <c r="P378" s="181">
        <f>IF(E378="Hardox 450",INDEX('Sac Parametreleri'!$G$11:$G$24,MATCH(F378,'Sac Parametreleri'!$A$11:$A$24,0)),INDEX('Sac Parametreleri'!$E$11:$E$24,MATCH(F378,'Sac Parametreleri'!$A$11:$A$24,0)))</f>
        <v>50.24</v>
      </c>
      <c r="Q378" s="181">
        <f>INDEX('Sac Parametreleri'!$F$11:$F$24,MATCH(F378,'Sac Parametreleri'!$A$11:$A$24,0))</f>
        <v>20.552727272727271</v>
      </c>
      <c r="R378" s="182">
        <f t="shared" si="26"/>
        <v>0.19700256957871398</v>
      </c>
      <c r="S378" s="182">
        <f t="shared" si="27"/>
        <v>0.19700256957871398</v>
      </c>
      <c r="T378" s="139">
        <f>K378*F378*'Sac Parametreleri'!$B$6*G378</f>
        <v>0.2179788</v>
      </c>
      <c r="U378" s="139">
        <f>N378*F378*'Sac Parametreleri'!$B$6*G378</f>
        <v>4.7849004878048766E-2</v>
      </c>
      <c r="V378" s="139">
        <f>M378*F378*'Sac Parametreleri'!$B$6*G378</f>
        <v>0.26582780487804875</v>
      </c>
      <c r="W378" s="135" t="s">
        <v>1520</v>
      </c>
    </row>
    <row r="379" spans="1:24" ht="15" customHeight="1" x14ac:dyDescent="0.25">
      <c r="A379" s="135" t="s">
        <v>622</v>
      </c>
      <c r="B379" s="135">
        <v>1</v>
      </c>
      <c r="C379" s="135" t="s">
        <v>828</v>
      </c>
      <c r="D379" s="135" t="s">
        <v>749</v>
      </c>
      <c r="E379" s="135" t="s">
        <v>1552</v>
      </c>
      <c r="F379" s="135">
        <v>8</v>
      </c>
      <c r="G379" s="135">
        <v>1</v>
      </c>
      <c r="H379" s="135" t="s">
        <v>1765</v>
      </c>
      <c r="I379" s="178"/>
      <c r="J379" s="178"/>
      <c r="K379" s="179">
        <v>5.4522000000000001E-2</v>
      </c>
      <c r="L379" s="179">
        <v>0</v>
      </c>
      <c r="M379" s="180">
        <f>K379/(1-'Sac Parametreleri'!$B$29)</f>
        <v>6.9102661596958173E-2</v>
      </c>
      <c r="N379" s="180">
        <f t="shared" si="24"/>
        <v>1.4580661596958172E-2</v>
      </c>
      <c r="O379" s="138">
        <f t="shared" si="25"/>
        <v>0.21099999999999997</v>
      </c>
      <c r="P379" s="181">
        <f>IF(E379="Hardox 450",INDEX('Sac Parametreleri'!$G$11:$G$24,MATCH(F379,'Sac Parametreleri'!$A$11:$A$24,0)),INDEX('Sac Parametreleri'!$E$11:$E$24,MATCH(F379,'Sac Parametreleri'!$A$11:$A$24,0)))</f>
        <v>50.24</v>
      </c>
      <c r="Q379" s="181">
        <f>INDEX('Sac Parametreleri'!$F$11:$F$24,MATCH(F379,'Sac Parametreleri'!$A$11:$A$24,0))</f>
        <v>20.552727272727271</v>
      </c>
      <c r="R379" s="182">
        <f t="shared" si="26"/>
        <v>3.1720453573729697</v>
      </c>
      <c r="S379" s="182">
        <f t="shared" si="27"/>
        <v>3.1720453573729697</v>
      </c>
      <c r="T379" s="139">
        <f>K379*F379*'Sac Parametreleri'!$B$6*G379</f>
        <v>3.4239815999999998</v>
      </c>
      <c r="U379" s="139">
        <f>N379*F379*'Sac Parametreleri'!$B$6*G379</f>
        <v>0.91566554828897317</v>
      </c>
      <c r="V379" s="139">
        <f>M379*F379*'Sac Parametreleri'!$B$6*G379</f>
        <v>4.3396471482889734</v>
      </c>
      <c r="W379" s="135" t="s">
        <v>1520</v>
      </c>
    </row>
    <row r="380" spans="1:24" ht="15" customHeight="1" x14ac:dyDescent="0.25">
      <c r="A380" s="135" t="s">
        <v>622</v>
      </c>
      <c r="B380" s="135">
        <v>2</v>
      </c>
      <c r="C380" s="135" t="s">
        <v>1885</v>
      </c>
      <c r="D380" s="135" t="s">
        <v>749</v>
      </c>
      <c r="E380" s="135" t="s">
        <v>1552</v>
      </c>
      <c r="F380" s="135">
        <v>8</v>
      </c>
      <c r="G380" s="135">
        <v>1</v>
      </c>
      <c r="H380" s="135" t="s">
        <v>1742</v>
      </c>
      <c r="I380" s="178"/>
      <c r="J380" s="178"/>
      <c r="K380" s="179">
        <v>3.4710000000000001E-3</v>
      </c>
      <c r="L380" s="179">
        <v>0</v>
      </c>
      <c r="M380" s="180">
        <f>K380/(1-'Sac Parametreleri'!$B$27)</f>
        <v>4.2329268292682926E-3</v>
      </c>
      <c r="N380" s="180">
        <f t="shared" si="24"/>
        <v>7.619268292682925E-4</v>
      </c>
      <c r="O380" s="138">
        <f t="shared" si="25"/>
        <v>0.17999999999999997</v>
      </c>
      <c r="P380" s="181">
        <f>IF(E380="Hardox 450",INDEX('Sac Parametreleri'!$G$11:$G$24,MATCH(F380,'Sac Parametreleri'!$A$11:$A$24,0)),INDEX('Sac Parametreleri'!$E$11:$E$24,MATCH(F380,'Sac Parametreleri'!$A$11:$A$24,0)))</f>
        <v>50.24</v>
      </c>
      <c r="Q380" s="181">
        <f>INDEX('Sac Parametreleri'!$F$11:$F$24,MATCH(F380,'Sac Parametreleri'!$A$11:$A$24,0))</f>
        <v>20.552727272727271</v>
      </c>
      <c r="R380" s="182">
        <f t="shared" si="26"/>
        <v>0.19700256957871398</v>
      </c>
      <c r="S380" s="182">
        <f t="shared" si="27"/>
        <v>0.19700256957871398</v>
      </c>
      <c r="T380" s="139">
        <f>K380*F380*'Sac Parametreleri'!$B$6*G380</f>
        <v>0.2179788</v>
      </c>
      <c r="U380" s="139">
        <f>N380*F380*'Sac Parametreleri'!$B$6*G380</f>
        <v>4.7849004878048766E-2</v>
      </c>
      <c r="V380" s="139">
        <f>M380*F380*'Sac Parametreleri'!$B$6*G380</f>
        <v>0.26582780487804875</v>
      </c>
      <c r="W380" s="135" t="s">
        <v>1520</v>
      </c>
    </row>
    <row r="381" spans="1:24" ht="15" customHeight="1" x14ac:dyDescent="0.25">
      <c r="A381" s="135" t="s">
        <v>458</v>
      </c>
      <c r="B381" s="135">
        <v>2</v>
      </c>
      <c r="C381" s="135" t="s">
        <v>1855</v>
      </c>
      <c r="D381" s="135" t="s">
        <v>1878</v>
      </c>
      <c r="E381" s="135" t="s">
        <v>1552</v>
      </c>
      <c r="F381" s="135">
        <v>10</v>
      </c>
      <c r="G381" s="135">
        <v>2</v>
      </c>
      <c r="H381" s="135" t="s">
        <v>1742</v>
      </c>
      <c r="I381" s="178"/>
      <c r="J381" s="178"/>
      <c r="K381" s="179">
        <v>3.0829999999999998E-3</v>
      </c>
      <c r="L381" s="179">
        <v>0</v>
      </c>
      <c r="M381" s="180">
        <f>K381/(1-'Sac Parametreleri'!$B$27)</f>
        <v>3.7597560975609749E-3</v>
      </c>
      <c r="N381" s="180">
        <f t="shared" si="24"/>
        <v>6.7675609756097507E-4</v>
      </c>
      <c r="O381" s="138">
        <f t="shared" si="25"/>
        <v>0.17999999999999988</v>
      </c>
      <c r="P381" s="181">
        <f>IF(E381="Hardox 450",INDEX('Sac Parametreleri'!$G$11:$G$24,MATCH(F381,'Sac Parametreleri'!$A$11:$A$24,0)),INDEX('Sac Parametreleri'!$E$11:$E$24,MATCH(F381,'Sac Parametreleri'!$A$11:$A$24,0)))</f>
        <v>62.800000000000004</v>
      </c>
      <c r="Q381" s="181">
        <f>INDEX('Sac Parametreleri'!$F$11:$F$24,MATCH(F381,'Sac Parametreleri'!$A$11:$A$24,0))</f>
        <v>25.690909090909091</v>
      </c>
      <c r="R381" s="182">
        <f t="shared" si="26"/>
        <v>0.21872620354767183</v>
      </c>
      <c r="S381" s="182">
        <f t="shared" si="27"/>
        <v>0.43745240709534366</v>
      </c>
      <c r="T381" s="139">
        <f>K381*F381*'Sac Parametreleri'!$B$6*G381</f>
        <v>0.48403099999999993</v>
      </c>
      <c r="U381" s="139">
        <f>N381*F381*'Sac Parametreleri'!$B$6*G381</f>
        <v>0.10625070731707308</v>
      </c>
      <c r="V381" s="139">
        <f>M381*F381*'Sac Parametreleri'!$B$6*G381</f>
        <v>0.59028170731707297</v>
      </c>
      <c r="W381" s="135" t="s">
        <v>1520</v>
      </c>
    </row>
    <row r="382" spans="1:24" ht="15" customHeight="1" x14ac:dyDescent="0.25">
      <c r="A382" s="135" t="s">
        <v>579</v>
      </c>
      <c r="B382" s="135">
        <v>2</v>
      </c>
      <c r="C382" s="135" t="s">
        <v>1886</v>
      </c>
      <c r="D382" s="135" t="s">
        <v>1887</v>
      </c>
      <c r="E382" s="135" t="s">
        <v>1552</v>
      </c>
      <c r="F382" s="135">
        <v>6</v>
      </c>
      <c r="G382" s="135">
        <v>1</v>
      </c>
      <c r="H382" s="135" t="s">
        <v>1742</v>
      </c>
      <c r="I382" s="178"/>
      <c r="J382" s="178"/>
      <c r="K382" s="179">
        <v>1.8747E-2</v>
      </c>
      <c r="L382" s="179">
        <v>0</v>
      </c>
      <c r="M382" s="180">
        <f>K382/(1-'Sac Parametreleri'!$B$27)</f>
        <v>2.2862195121951218E-2</v>
      </c>
      <c r="N382" s="180">
        <f t="shared" si="24"/>
        <v>4.1151951219512185E-3</v>
      </c>
      <c r="O382" s="138">
        <f t="shared" si="25"/>
        <v>0.17999999999999997</v>
      </c>
      <c r="P382" s="181">
        <f>IF(E382="Hardox 450",INDEX('Sac Parametreleri'!$G$11:$G$24,MATCH(F382,'Sac Parametreleri'!$A$11:$A$24,0)),INDEX('Sac Parametreleri'!$E$11:$E$24,MATCH(F382,'Sac Parametreleri'!$A$11:$A$24,0)))</f>
        <v>37.68</v>
      </c>
      <c r="Q382" s="181">
        <f>INDEX('Sac Parametreleri'!$F$11:$F$24,MATCH(F382,'Sac Parametreleri'!$A$11:$A$24,0))</f>
        <v>15.414545454545452</v>
      </c>
      <c r="R382" s="182">
        <f t="shared" si="26"/>
        <v>0.79801364993348112</v>
      </c>
      <c r="S382" s="182">
        <f t="shared" si="27"/>
        <v>0.79801364993348112</v>
      </c>
      <c r="T382" s="139">
        <f>K382*F382*'Sac Parametreleri'!$B$6*G382</f>
        <v>0.88298369999999993</v>
      </c>
      <c r="U382" s="139">
        <f>N382*F382*'Sac Parametreleri'!$B$6*G382</f>
        <v>0.19382569024390239</v>
      </c>
      <c r="V382" s="139">
        <f>M382*F382*'Sac Parametreleri'!$B$6*G382</f>
        <v>1.0768093902439024</v>
      </c>
      <c r="W382" s="135" t="s">
        <v>1520</v>
      </c>
    </row>
    <row r="383" spans="1:24" ht="15" customHeight="1" x14ac:dyDescent="0.25">
      <c r="A383" s="135" t="s">
        <v>579</v>
      </c>
      <c r="B383" s="135">
        <v>3</v>
      </c>
      <c r="C383" s="135" t="s">
        <v>1888</v>
      </c>
      <c r="D383" s="135" t="s">
        <v>774</v>
      </c>
      <c r="E383" s="135" t="s">
        <v>1552</v>
      </c>
      <c r="F383" s="135">
        <v>6</v>
      </c>
      <c r="G383" s="135">
        <v>2</v>
      </c>
      <c r="H383" s="135" t="s">
        <v>1742</v>
      </c>
      <c r="I383" s="178"/>
      <c r="J383" s="178"/>
      <c r="K383" s="179">
        <v>1.6157000000000001E-2</v>
      </c>
      <c r="L383" s="179">
        <v>0</v>
      </c>
      <c r="M383" s="180">
        <f>K383/(1-'Sac Parametreleri'!$B$27)</f>
        <v>1.9703658536585365E-2</v>
      </c>
      <c r="N383" s="180">
        <f t="shared" si="24"/>
        <v>3.5466585365853641E-3</v>
      </c>
      <c r="O383" s="138">
        <f t="shared" si="25"/>
        <v>0.17999999999999991</v>
      </c>
      <c r="P383" s="181">
        <f>IF(E383="Hardox 450",INDEX('Sac Parametreleri'!$G$11:$G$24,MATCH(F383,'Sac Parametreleri'!$A$11:$A$24,0)),INDEX('Sac Parametreleri'!$E$11:$E$24,MATCH(F383,'Sac Parametreleri'!$A$11:$A$24,0)))</f>
        <v>37.68</v>
      </c>
      <c r="Q383" s="181">
        <f>INDEX('Sac Parametreleri'!$F$11:$F$24,MATCH(F383,'Sac Parametreleri'!$A$11:$A$24,0))</f>
        <v>15.414545454545452</v>
      </c>
      <c r="R383" s="182">
        <f t="shared" si="26"/>
        <v>0.68776372443458977</v>
      </c>
      <c r="S383" s="182">
        <f t="shared" si="27"/>
        <v>1.3755274488691795</v>
      </c>
      <c r="T383" s="139">
        <f>K383*F383*'Sac Parametreleri'!$B$6*G383</f>
        <v>1.5219894</v>
      </c>
      <c r="U383" s="139">
        <f>N383*F383*'Sac Parametreleri'!$B$6*G383</f>
        <v>0.33409523414634129</v>
      </c>
      <c r="V383" s="139">
        <f>M383*F383*'Sac Parametreleri'!$B$6*G383</f>
        <v>1.8560846341463413</v>
      </c>
      <c r="W383" s="135" t="s">
        <v>1520</v>
      </c>
    </row>
    <row r="384" spans="1:24" ht="15" customHeight="1" x14ac:dyDescent="0.25">
      <c r="A384" s="135" t="s">
        <v>579</v>
      </c>
      <c r="B384" s="135">
        <v>4</v>
      </c>
      <c r="C384" s="135" t="s">
        <v>1889</v>
      </c>
      <c r="D384" s="135" t="s">
        <v>774</v>
      </c>
      <c r="E384" s="135" t="s">
        <v>1552</v>
      </c>
      <c r="F384" s="135">
        <v>3</v>
      </c>
      <c r="G384" s="135">
        <v>1</v>
      </c>
      <c r="H384" s="135" t="s">
        <v>1742</v>
      </c>
      <c r="I384" s="178"/>
      <c r="J384" s="178"/>
      <c r="K384" s="179">
        <v>3.9069999999999999E-3</v>
      </c>
      <c r="L384" s="179">
        <v>0</v>
      </c>
      <c r="M384" s="180">
        <f>K384/(1-'Sac Parametreleri'!$B$27)</f>
        <v>4.7646341463414626E-3</v>
      </c>
      <c r="N384" s="180">
        <f t="shared" si="24"/>
        <v>8.5763414634146273E-4</v>
      </c>
      <c r="O384" s="138">
        <f t="shared" si="25"/>
        <v>0.17999999999999988</v>
      </c>
      <c r="P384" s="181">
        <f>IF(E384="Hardox 450",INDEX('Sac Parametreleri'!$G$11:$G$24,MATCH(F384,'Sac Parametreleri'!$A$11:$A$24,0)),INDEX('Sac Parametreleri'!$E$11:$E$24,MATCH(F384,'Sac Parametreleri'!$A$11:$A$24,0)))</f>
        <v>18.84</v>
      </c>
      <c r="Q384" s="181">
        <f>INDEX('Sac Parametreleri'!$F$11:$F$24,MATCH(F384,'Sac Parametreleri'!$A$11:$A$24,0))</f>
        <v>7.7072727272727262</v>
      </c>
      <c r="R384" s="182">
        <f t="shared" si="26"/>
        <v>8.3155687050997781E-2</v>
      </c>
      <c r="S384" s="182">
        <f t="shared" si="27"/>
        <v>8.3155687050997781E-2</v>
      </c>
      <c r="T384" s="139">
        <f>K384*F384*'Sac Parametreleri'!$B$6*G384</f>
        <v>9.200984999999999E-2</v>
      </c>
      <c r="U384" s="139">
        <f>N384*F384*'Sac Parametreleri'!$B$6*G384</f>
        <v>2.0197284146341445E-2</v>
      </c>
      <c r="V384" s="139">
        <f>M384*F384*'Sac Parametreleri'!$B$6*G384</f>
        <v>0.11220713414634144</v>
      </c>
      <c r="W384" s="135" t="s">
        <v>1520</v>
      </c>
    </row>
    <row r="385" spans="1:23" ht="15" customHeight="1" x14ac:dyDescent="0.25">
      <c r="A385" s="135" t="s">
        <v>446</v>
      </c>
      <c r="B385" s="135">
        <v>1</v>
      </c>
      <c r="C385" s="135" t="s">
        <v>781</v>
      </c>
      <c r="D385" s="135" t="s">
        <v>782</v>
      </c>
      <c r="E385" s="135" t="s">
        <v>1552</v>
      </c>
      <c r="F385" s="135">
        <v>8</v>
      </c>
      <c r="G385" s="135">
        <v>1</v>
      </c>
      <c r="H385" s="135" t="s">
        <v>1765</v>
      </c>
      <c r="I385" s="178"/>
      <c r="J385" s="178"/>
      <c r="K385" s="179">
        <v>3.6145999999999998E-2</v>
      </c>
      <c r="L385" s="179">
        <v>0</v>
      </c>
      <c r="M385" s="180">
        <f>K385/(1-'Sac Parametreleri'!$B$29)</f>
        <v>4.581242078580481E-2</v>
      </c>
      <c r="N385" s="180">
        <f t="shared" si="24"/>
        <v>9.6664207858048121E-3</v>
      </c>
      <c r="O385" s="138">
        <f t="shared" si="25"/>
        <v>0.21099999999999994</v>
      </c>
      <c r="P385" s="181">
        <f>IF(E385="Hardox 450",INDEX('Sac Parametreleri'!$G$11:$G$24,MATCH(F385,'Sac Parametreleri'!$A$11:$A$24,0)),INDEX('Sac Parametreleri'!$E$11:$E$24,MATCH(F385,'Sac Parametreleri'!$A$11:$A$24,0)))</f>
        <v>50.24</v>
      </c>
      <c r="Q385" s="181">
        <f>INDEX('Sac Parametreleri'!$F$11:$F$24,MATCH(F385,'Sac Parametreleri'!$A$11:$A$24,0))</f>
        <v>20.552727272727271</v>
      </c>
      <c r="R385" s="182">
        <f t="shared" si="26"/>
        <v>2.1029447101647656</v>
      </c>
      <c r="S385" s="182">
        <f t="shared" si="27"/>
        <v>2.1029447101647656</v>
      </c>
      <c r="T385" s="139">
        <f>K385*F385*'Sac Parametreleri'!$B$6*G385</f>
        <v>2.2699687999999996</v>
      </c>
      <c r="U385" s="139">
        <f>N385*F385*'Sac Parametreleri'!$B$6*G385</f>
        <v>0.60705122534854217</v>
      </c>
      <c r="V385" s="139">
        <f>M385*F385*'Sac Parametreleri'!$B$6*G385</f>
        <v>2.8770200253485418</v>
      </c>
      <c r="W385" s="135" t="s">
        <v>1520</v>
      </c>
    </row>
    <row r="386" spans="1:23" ht="15" customHeight="1" x14ac:dyDescent="0.25">
      <c r="A386" s="135" t="s">
        <v>446</v>
      </c>
      <c r="B386" s="135">
        <v>2</v>
      </c>
      <c r="C386" s="135" t="s">
        <v>1890</v>
      </c>
      <c r="D386" s="135" t="s">
        <v>782</v>
      </c>
      <c r="E386" s="135" t="s">
        <v>1552</v>
      </c>
      <c r="F386" s="135">
        <v>8</v>
      </c>
      <c r="G386" s="135">
        <v>2</v>
      </c>
      <c r="H386" s="135" t="s">
        <v>1742</v>
      </c>
      <c r="I386" s="178"/>
      <c r="J386" s="178"/>
      <c r="K386" s="179">
        <v>9.0130000000000002E-3</v>
      </c>
      <c r="L386" s="179">
        <v>0</v>
      </c>
      <c r="M386" s="180">
        <f>K386/(1-'Sac Parametreleri'!$B$27)</f>
        <v>1.0991463414634146E-2</v>
      </c>
      <c r="N386" s="180">
        <f t="shared" ref="N386:N449" si="28">MAX(M386-K386,0)</f>
        <v>1.9784634146341462E-3</v>
      </c>
      <c r="O386" s="138">
        <f t="shared" ref="O386:O449" si="29">IF(M386=0,0,N386/M386)</f>
        <v>0.18</v>
      </c>
      <c r="P386" s="181">
        <f>IF(E386="Hardox 450",INDEX('Sac Parametreleri'!$G$11:$G$24,MATCH(F386,'Sac Parametreleri'!$A$11:$A$24,0)),INDEX('Sac Parametreleri'!$E$11:$E$24,MATCH(F386,'Sac Parametreleri'!$A$11:$A$24,0)))</f>
        <v>50.24</v>
      </c>
      <c r="Q386" s="181">
        <f>INDEX('Sac Parametreleri'!$F$11:$F$24,MATCH(F386,'Sac Parametreleri'!$A$11:$A$24,0))</f>
        <v>20.552727272727271</v>
      </c>
      <c r="R386" s="182">
        <f t="shared" ref="R386:R449" si="30">(K386+N386)*P386-N386*Q386</f>
        <v>0.51154830297117526</v>
      </c>
      <c r="S386" s="182">
        <f t="shared" ref="S386:S449" si="31">R386*G386</f>
        <v>1.0230966059423505</v>
      </c>
      <c r="T386" s="139">
        <f>K386*F386*'Sac Parametreleri'!$B$6*G386</f>
        <v>1.1320328</v>
      </c>
      <c r="U386" s="139">
        <f>N386*F386*'Sac Parametreleri'!$B$6*G386</f>
        <v>0.24849500487804876</v>
      </c>
      <c r="V386" s="139">
        <f>M386*F386*'Sac Parametreleri'!$B$6*G386</f>
        <v>1.3805278048780487</v>
      </c>
      <c r="W386" s="135" t="s">
        <v>1520</v>
      </c>
    </row>
    <row r="387" spans="1:23" ht="15" customHeight="1" x14ac:dyDescent="0.25">
      <c r="A387" s="135" t="s">
        <v>563</v>
      </c>
      <c r="B387" s="135">
        <v>1</v>
      </c>
      <c r="C387" s="135" t="s">
        <v>1891</v>
      </c>
      <c r="D387" s="135" t="s">
        <v>774</v>
      </c>
      <c r="E387" s="135" t="s">
        <v>1552</v>
      </c>
      <c r="F387" s="135">
        <v>5</v>
      </c>
      <c r="G387" s="135">
        <v>1</v>
      </c>
      <c r="H387" s="135" t="s">
        <v>1742</v>
      </c>
      <c r="I387" s="178"/>
      <c r="J387" s="178"/>
      <c r="K387" s="179">
        <v>1.0548E-2</v>
      </c>
      <c r="L387" s="179">
        <v>0</v>
      </c>
      <c r="M387" s="180">
        <f>K387/(1-'Sac Parametreleri'!$B$27)</f>
        <v>1.2863414634146341E-2</v>
      </c>
      <c r="N387" s="180">
        <f t="shared" si="28"/>
        <v>2.3154146341463414E-3</v>
      </c>
      <c r="O387" s="138">
        <f t="shared" si="29"/>
        <v>0.18</v>
      </c>
      <c r="P387" s="181">
        <f>IF(E387="Hardox 450",INDEX('Sac Parametreleri'!$G$11:$G$24,MATCH(F387,'Sac Parametreleri'!$A$11:$A$24,0)),INDEX('Sac Parametreleri'!$E$11:$E$24,MATCH(F387,'Sac Parametreleri'!$A$11:$A$24,0)))</f>
        <v>31.400000000000002</v>
      </c>
      <c r="Q387" s="181">
        <f>INDEX('Sac Parametreleri'!$F$11:$F$24,MATCH(F387,'Sac Parametreleri'!$A$11:$A$24,0))</f>
        <v>12.845454545454546</v>
      </c>
      <c r="R387" s="182">
        <f t="shared" si="30"/>
        <v>0.37416866607538807</v>
      </c>
      <c r="S387" s="182">
        <f t="shared" si="31"/>
        <v>0.37416866607538807</v>
      </c>
      <c r="T387" s="139">
        <f>K387*F387*'Sac Parametreleri'!$B$6*G387</f>
        <v>0.41400900000000002</v>
      </c>
      <c r="U387" s="139">
        <f>N387*F387*'Sac Parametreleri'!$B$6*G387</f>
        <v>9.0880024390243896E-2</v>
      </c>
      <c r="V387" s="139">
        <f>M387*F387*'Sac Parametreleri'!$B$6*G387</f>
        <v>0.50488902439024386</v>
      </c>
      <c r="W387" s="135" t="s">
        <v>1520</v>
      </c>
    </row>
    <row r="388" spans="1:23" ht="15" customHeight="1" x14ac:dyDescent="0.25">
      <c r="A388" s="135" t="s">
        <v>563</v>
      </c>
      <c r="B388" s="135">
        <v>2</v>
      </c>
      <c r="C388" s="135" t="s">
        <v>818</v>
      </c>
      <c r="D388" s="135" t="s">
        <v>774</v>
      </c>
      <c r="E388" s="135" t="s">
        <v>1552</v>
      </c>
      <c r="F388" s="135">
        <v>5</v>
      </c>
      <c r="G388" s="135">
        <v>2</v>
      </c>
      <c r="H388" s="135" t="s">
        <v>1746</v>
      </c>
      <c r="I388" s="178"/>
      <c r="J388" s="178"/>
      <c r="K388" s="179">
        <v>2.051E-2</v>
      </c>
      <c r="L388" s="179">
        <v>0</v>
      </c>
      <c r="M388" s="180">
        <f>K388/(1-'Sac Parametreleri'!$B$29)</f>
        <v>2.5994930291508237E-2</v>
      </c>
      <c r="N388" s="180">
        <f t="shared" si="28"/>
        <v>5.4849302915082367E-3</v>
      </c>
      <c r="O388" s="138">
        <f t="shared" si="29"/>
        <v>0.21099999999999994</v>
      </c>
      <c r="P388" s="181">
        <f>IF(E388="Hardox 450",INDEX('Sac Parametreleri'!$G$11:$G$24,MATCH(F388,'Sac Parametreleri'!$A$11:$A$24,0)),INDEX('Sac Parametreleri'!$E$11:$E$24,MATCH(F388,'Sac Parametreleri'!$A$11:$A$24,0)))</f>
        <v>31.400000000000002</v>
      </c>
      <c r="Q388" s="181">
        <f>INDEX('Sac Parametreleri'!$F$11:$F$24,MATCH(F388,'Sac Parametreleri'!$A$11:$A$24,0))</f>
        <v>12.845454545454546</v>
      </c>
      <c r="R388" s="182">
        <f t="shared" si="30"/>
        <v>0.7457843884088029</v>
      </c>
      <c r="S388" s="182">
        <f t="shared" si="31"/>
        <v>1.4915687768176058</v>
      </c>
      <c r="T388" s="139">
        <f>K388*F388*'Sac Parametreleri'!$B$6*G388</f>
        <v>1.6100349999999999</v>
      </c>
      <c r="U388" s="139">
        <f>N388*F388*'Sac Parametreleri'!$B$6*G388</f>
        <v>0.43056702788339657</v>
      </c>
      <c r="V388" s="139">
        <f>M388*F388*'Sac Parametreleri'!$B$6*G388</f>
        <v>2.0406020278833967</v>
      </c>
      <c r="W388" s="135" t="s">
        <v>1520</v>
      </c>
    </row>
    <row r="389" spans="1:23" ht="15" customHeight="1" x14ac:dyDescent="0.25">
      <c r="A389" s="135" t="s">
        <v>563</v>
      </c>
      <c r="B389" s="135">
        <v>3</v>
      </c>
      <c r="C389" s="135" t="s">
        <v>1892</v>
      </c>
      <c r="D389" s="135" t="s">
        <v>774</v>
      </c>
      <c r="E389" s="135" t="s">
        <v>1552</v>
      </c>
      <c r="F389" s="135">
        <v>5</v>
      </c>
      <c r="G389" s="135">
        <v>1</v>
      </c>
      <c r="H389" s="135" t="s">
        <v>1742</v>
      </c>
      <c r="I389" s="178"/>
      <c r="J389" s="178"/>
      <c r="K389" s="179">
        <v>2.1987E-2</v>
      </c>
      <c r="L389" s="179">
        <v>0</v>
      </c>
      <c r="M389" s="180">
        <f>K389/(1-'Sac Parametreleri'!$B$27)</f>
        <v>2.681341463414634E-2</v>
      </c>
      <c r="N389" s="180">
        <f t="shared" si="28"/>
        <v>4.8264146341463407E-3</v>
      </c>
      <c r="O389" s="138">
        <f t="shared" si="29"/>
        <v>0.17999999999999997</v>
      </c>
      <c r="P389" s="181">
        <f>IF(E389="Hardox 450",INDEX('Sac Parametreleri'!$G$11:$G$24,MATCH(F389,'Sac Parametreleri'!$A$11:$A$24,0)),INDEX('Sac Parametreleri'!$E$11:$E$24,MATCH(F389,'Sac Parametreleri'!$A$11:$A$24,0)))</f>
        <v>31.400000000000002</v>
      </c>
      <c r="Q389" s="181">
        <f>INDEX('Sac Parametreleri'!$F$11:$F$24,MATCH(F389,'Sac Parametreleri'!$A$11:$A$24,0))</f>
        <v>12.845454545454546</v>
      </c>
      <c r="R389" s="182">
        <f t="shared" si="30"/>
        <v>0.77994372971175174</v>
      </c>
      <c r="S389" s="182">
        <f t="shared" si="31"/>
        <v>0.77994372971175174</v>
      </c>
      <c r="T389" s="139">
        <f>K389*F389*'Sac Parametreleri'!$B$6*G389</f>
        <v>0.86298975</v>
      </c>
      <c r="U389" s="139">
        <f>N389*F389*'Sac Parametreleri'!$B$6*G389</f>
        <v>0.18943677439024387</v>
      </c>
      <c r="V389" s="139">
        <f>M389*F389*'Sac Parametreleri'!$B$6*G389</f>
        <v>1.0524265243902438</v>
      </c>
      <c r="W389" s="135" t="s">
        <v>1520</v>
      </c>
    </row>
    <row r="390" spans="1:23" ht="15" customHeight="1" x14ac:dyDescent="0.25">
      <c r="A390" s="135" t="s">
        <v>563</v>
      </c>
      <c r="B390" s="135">
        <v>4</v>
      </c>
      <c r="C390" s="135" t="s">
        <v>1893</v>
      </c>
      <c r="D390" s="135" t="s">
        <v>774</v>
      </c>
      <c r="E390" s="135" t="s">
        <v>1552</v>
      </c>
      <c r="F390" s="135">
        <v>5</v>
      </c>
      <c r="G390" s="135">
        <v>1</v>
      </c>
      <c r="H390" s="135" t="s">
        <v>1742</v>
      </c>
      <c r="I390" s="178"/>
      <c r="J390" s="178"/>
      <c r="K390" s="179">
        <v>1.3962E-2</v>
      </c>
      <c r="L390" s="179">
        <v>0</v>
      </c>
      <c r="M390" s="180">
        <f>K390/(1-'Sac Parametreleri'!$B$27)</f>
        <v>1.7026829268292683E-2</v>
      </c>
      <c r="N390" s="180">
        <f t="shared" si="28"/>
        <v>3.064829268292683E-3</v>
      </c>
      <c r="O390" s="138">
        <f t="shared" si="29"/>
        <v>0.18</v>
      </c>
      <c r="P390" s="181">
        <f>IF(E390="Hardox 450",INDEX('Sac Parametreleri'!$G$11:$G$24,MATCH(F390,'Sac Parametreleri'!$A$11:$A$24,0)),INDEX('Sac Parametreleri'!$E$11:$E$24,MATCH(F390,'Sac Parametreleri'!$A$11:$A$24,0)))</f>
        <v>31.400000000000002</v>
      </c>
      <c r="Q390" s="181">
        <f>INDEX('Sac Parametreleri'!$F$11:$F$24,MATCH(F390,'Sac Parametreleri'!$A$11:$A$24,0))</f>
        <v>12.845454545454546</v>
      </c>
      <c r="R390" s="182">
        <f t="shared" si="30"/>
        <v>0.49527331396895796</v>
      </c>
      <c r="S390" s="182">
        <f t="shared" si="31"/>
        <v>0.49527331396895796</v>
      </c>
      <c r="T390" s="139">
        <f>K390*F390*'Sac Parametreleri'!$B$6*G390</f>
        <v>0.5480084999999999</v>
      </c>
      <c r="U390" s="139">
        <f>N390*F390*'Sac Parametreleri'!$B$6*G390</f>
        <v>0.1202945487804878</v>
      </c>
      <c r="V390" s="139">
        <f>M390*F390*'Sac Parametreleri'!$B$6*G390</f>
        <v>0.66830304878048785</v>
      </c>
      <c r="W390" s="135" t="s">
        <v>1520</v>
      </c>
    </row>
    <row r="391" spans="1:23" ht="15" customHeight="1" x14ac:dyDescent="0.25">
      <c r="A391" s="135" t="s">
        <v>559</v>
      </c>
      <c r="B391" s="135">
        <v>1</v>
      </c>
      <c r="C391" s="135" t="s">
        <v>1894</v>
      </c>
      <c r="D391" s="135" t="s">
        <v>1895</v>
      </c>
      <c r="E391" s="135" t="s">
        <v>1552</v>
      </c>
      <c r="F391" s="135">
        <v>8</v>
      </c>
      <c r="G391" s="135">
        <v>1</v>
      </c>
      <c r="H391" s="135" t="s">
        <v>1742</v>
      </c>
      <c r="I391" s="178"/>
      <c r="J391" s="178"/>
      <c r="K391" s="179">
        <v>2.9204000000000001E-2</v>
      </c>
      <c r="L391" s="179">
        <v>0</v>
      </c>
      <c r="M391" s="180">
        <f>K391/(1-'Sac Parametreleri'!$B$27)</f>
        <v>3.5614634146341459E-2</v>
      </c>
      <c r="N391" s="180">
        <f t="shared" si="28"/>
        <v>6.4106341463414582E-3</v>
      </c>
      <c r="O391" s="138">
        <f t="shared" si="29"/>
        <v>0.17999999999999988</v>
      </c>
      <c r="P391" s="181">
        <f>IF(E391="Hardox 450",INDEX('Sac Parametreleri'!$G$11:$G$24,MATCH(F391,'Sac Parametreleri'!$A$11:$A$24,0)),INDEX('Sac Parametreleri'!$E$11:$E$24,MATCH(F391,'Sac Parametreleri'!$A$11:$A$24,0)))</f>
        <v>50.24</v>
      </c>
      <c r="Q391" s="181">
        <f>INDEX('Sac Parametreleri'!$F$11:$F$24,MATCH(F391,'Sac Parametreleri'!$A$11:$A$24,0))</f>
        <v>20.552727272727271</v>
      </c>
      <c r="R391" s="182">
        <f t="shared" si="30"/>
        <v>1.6575232042572061</v>
      </c>
      <c r="S391" s="182">
        <f t="shared" si="31"/>
        <v>1.6575232042572061</v>
      </c>
      <c r="T391" s="139">
        <f>K391*F391*'Sac Parametreleri'!$B$6*G391</f>
        <v>1.8340112</v>
      </c>
      <c r="U391" s="139">
        <f>N391*F391*'Sac Parametreleri'!$B$6*G391</f>
        <v>0.40258782439024354</v>
      </c>
      <c r="V391" s="139">
        <f>M391*F391*'Sac Parametreleri'!$B$6*G391</f>
        <v>2.2365990243902436</v>
      </c>
      <c r="W391" s="135" t="s">
        <v>1520</v>
      </c>
    </row>
    <row r="392" spans="1:23" ht="15" customHeight="1" x14ac:dyDescent="0.25">
      <c r="A392" s="135" t="s">
        <v>559</v>
      </c>
      <c r="B392" s="135">
        <v>2</v>
      </c>
      <c r="C392" s="135" t="s">
        <v>1896</v>
      </c>
      <c r="D392" s="135" t="s">
        <v>1897</v>
      </c>
      <c r="E392" s="135" t="s">
        <v>1552</v>
      </c>
      <c r="F392" s="135">
        <v>8</v>
      </c>
      <c r="G392" s="135">
        <v>2</v>
      </c>
      <c r="H392" s="135" t="s">
        <v>1742</v>
      </c>
      <c r="I392" s="178"/>
      <c r="J392" s="178"/>
      <c r="K392" s="179">
        <v>1.1513000000000001E-2</v>
      </c>
      <c r="L392" s="179">
        <v>0</v>
      </c>
      <c r="M392" s="180">
        <f>K392/(1-'Sac Parametreleri'!$B$27)</f>
        <v>1.4040243902439024E-2</v>
      </c>
      <c r="N392" s="180">
        <f t="shared" si="28"/>
        <v>2.527243902439023E-3</v>
      </c>
      <c r="O392" s="138">
        <f t="shared" si="29"/>
        <v>0.17999999999999991</v>
      </c>
      <c r="P392" s="181">
        <f>IF(E392="Hardox 450",INDEX('Sac Parametreleri'!$G$11:$G$24,MATCH(F392,'Sac Parametreleri'!$A$11:$A$24,0)),INDEX('Sac Parametreleri'!$E$11:$E$24,MATCH(F392,'Sac Parametreleri'!$A$11:$A$24,0)))</f>
        <v>50.24</v>
      </c>
      <c r="Q392" s="181">
        <f>INDEX('Sac Parametreleri'!$F$11:$F$24,MATCH(F392,'Sac Parametreleri'!$A$11:$A$24,0))</f>
        <v>20.552727272727271</v>
      </c>
      <c r="R392" s="182">
        <f t="shared" si="30"/>
        <v>0.6534400989800444</v>
      </c>
      <c r="S392" s="182">
        <f t="shared" si="31"/>
        <v>1.3068801979600888</v>
      </c>
      <c r="T392" s="139">
        <f>K392*F392*'Sac Parametreleri'!$B$6*G392</f>
        <v>1.4460328</v>
      </c>
      <c r="U392" s="139">
        <f>N392*F392*'Sac Parametreleri'!$B$6*G392</f>
        <v>0.31742183414634129</v>
      </c>
      <c r="V392" s="139">
        <f>M392*F392*'Sac Parametreleri'!$B$6*G392</f>
        <v>1.7634546341463413</v>
      </c>
      <c r="W392" s="135" t="s">
        <v>1520</v>
      </c>
    </row>
    <row r="393" spans="1:23" ht="15" customHeight="1" x14ac:dyDescent="0.25">
      <c r="A393" s="135" t="s">
        <v>592</v>
      </c>
      <c r="B393" s="135">
        <v>2</v>
      </c>
      <c r="C393" s="135" t="s">
        <v>1898</v>
      </c>
      <c r="D393" s="135" t="s">
        <v>1899</v>
      </c>
      <c r="E393" s="135" t="s">
        <v>1552</v>
      </c>
      <c r="F393" s="135">
        <v>8</v>
      </c>
      <c r="G393" s="135">
        <v>1</v>
      </c>
      <c r="H393" s="135" t="s">
        <v>1742</v>
      </c>
      <c r="I393" s="178"/>
      <c r="J393" s="178"/>
      <c r="K393" s="179">
        <v>2.6306E-2</v>
      </c>
      <c r="L393" s="179">
        <v>0</v>
      </c>
      <c r="M393" s="180">
        <f>K393/(1-'Sac Parametreleri'!$B$27)</f>
        <v>3.2080487804878044E-2</v>
      </c>
      <c r="N393" s="180">
        <f t="shared" si="28"/>
        <v>5.7744878048780444E-3</v>
      </c>
      <c r="O393" s="138">
        <f t="shared" si="29"/>
        <v>0.17999999999999988</v>
      </c>
      <c r="P393" s="181">
        <f>IF(E393="Hardox 450",INDEX('Sac Parametreleri'!$G$11:$G$24,MATCH(F393,'Sac Parametreleri'!$A$11:$A$24,0)),INDEX('Sac Parametreleri'!$E$11:$E$24,MATCH(F393,'Sac Parametreleri'!$A$11:$A$24,0)))</f>
        <v>50.24</v>
      </c>
      <c r="Q393" s="181">
        <f>INDEX('Sac Parametreleri'!$F$11:$F$24,MATCH(F393,'Sac Parametreleri'!$A$11:$A$24,0))</f>
        <v>20.552727272727271</v>
      </c>
      <c r="R393" s="182">
        <f t="shared" si="30"/>
        <v>1.4930422343237248</v>
      </c>
      <c r="S393" s="182">
        <f t="shared" si="31"/>
        <v>1.4930422343237248</v>
      </c>
      <c r="T393" s="139">
        <f>K393*F393*'Sac Parametreleri'!$B$6*G393</f>
        <v>1.6520168</v>
      </c>
      <c r="U393" s="139">
        <f>N393*F393*'Sac Parametreleri'!$B$6*G393</f>
        <v>0.36263783414634115</v>
      </c>
      <c r="V393" s="139">
        <f>M393*F393*'Sac Parametreleri'!$B$6*G393</f>
        <v>2.0146546341463409</v>
      </c>
      <c r="W393" s="135" t="s">
        <v>1520</v>
      </c>
    </row>
    <row r="394" spans="1:23" ht="15" customHeight="1" x14ac:dyDescent="0.25">
      <c r="A394" s="135" t="s">
        <v>614</v>
      </c>
      <c r="B394" s="135">
        <v>1</v>
      </c>
      <c r="C394" s="135" t="s">
        <v>1900</v>
      </c>
      <c r="D394" s="135" t="s">
        <v>749</v>
      </c>
      <c r="E394" s="135" t="s">
        <v>1552</v>
      </c>
      <c r="F394" s="135">
        <v>8</v>
      </c>
      <c r="G394" s="135">
        <v>1</v>
      </c>
      <c r="H394" s="135" t="s">
        <v>1742</v>
      </c>
      <c r="I394" s="178"/>
      <c r="J394" s="178"/>
      <c r="K394" s="179">
        <v>2.2277000000000002E-2</v>
      </c>
      <c r="L394" s="179">
        <v>0</v>
      </c>
      <c r="M394" s="180">
        <f>K394/(1-'Sac Parametreleri'!$B$27)</f>
        <v>2.7167073170731706E-2</v>
      </c>
      <c r="N394" s="180">
        <f t="shared" si="28"/>
        <v>4.8900731707317048E-3</v>
      </c>
      <c r="O394" s="138">
        <f t="shared" si="29"/>
        <v>0.17999999999999991</v>
      </c>
      <c r="P394" s="181">
        <f>IF(E394="Hardox 450",INDEX('Sac Parametreleri'!$G$11:$G$24,MATCH(F394,'Sac Parametreleri'!$A$11:$A$24,0)),INDEX('Sac Parametreleri'!$E$11:$E$24,MATCH(F394,'Sac Parametreleri'!$A$11:$A$24,0)))</f>
        <v>50.24</v>
      </c>
      <c r="Q394" s="181">
        <f>INDEX('Sac Parametreleri'!$F$11:$F$24,MATCH(F394,'Sac Parametreleri'!$A$11:$A$24,0))</f>
        <v>20.552727272727271</v>
      </c>
      <c r="R394" s="182">
        <f t="shared" si="30"/>
        <v>1.2643694158758316</v>
      </c>
      <c r="S394" s="182">
        <f t="shared" si="31"/>
        <v>1.2643694158758316</v>
      </c>
      <c r="T394" s="139">
        <f>K394*F394*'Sac Parametreleri'!$B$6*G394</f>
        <v>1.3989956000000001</v>
      </c>
      <c r="U394" s="139">
        <f>N394*F394*'Sac Parametreleri'!$B$6*G394</f>
        <v>0.30709659512195103</v>
      </c>
      <c r="V394" s="139">
        <f>M394*F394*'Sac Parametreleri'!$B$6*G394</f>
        <v>1.706092195121951</v>
      </c>
      <c r="W394" s="135" t="s">
        <v>1520</v>
      </c>
    </row>
    <row r="395" spans="1:23" ht="15" customHeight="1" x14ac:dyDescent="0.25">
      <c r="A395" s="135" t="s">
        <v>614</v>
      </c>
      <c r="B395" s="135">
        <v>2</v>
      </c>
      <c r="C395" s="135" t="s">
        <v>987</v>
      </c>
      <c r="D395" s="135" t="s">
        <v>749</v>
      </c>
      <c r="E395" s="135" t="s">
        <v>1552</v>
      </c>
      <c r="F395" s="135">
        <v>8</v>
      </c>
      <c r="G395" s="135">
        <v>1</v>
      </c>
      <c r="H395" s="135" t="s">
        <v>1746</v>
      </c>
      <c r="I395" s="178"/>
      <c r="J395" s="178"/>
      <c r="K395" s="179">
        <v>2.9904E-2</v>
      </c>
      <c r="L395" s="179">
        <v>0</v>
      </c>
      <c r="M395" s="180">
        <f>K395/(1-'Sac Parametreleri'!$B$29)</f>
        <v>3.7901140684410646E-2</v>
      </c>
      <c r="N395" s="180">
        <f t="shared" si="28"/>
        <v>7.997140684410646E-3</v>
      </c>
      <c r="O395" s="138">
        <f t="shared" si="29"/>
        <v>0.21099999999999999</v>
      </c>
      <c r="P395" s="181">
        <f>IF(E395="Hardox 450",INDEX('Sac Parametreleri'!$G$11:$G$24,MATCH(F395,'Sac Parametreleri'!$A$11:$A$24,0)),INDEX('Sac Parametreleri'!$E$11:$E$24,MATCH(F395,'Sac Parametreleri'!$A$11:$A$24,0)))</f>
        <v>50.24</v>
      </c>
      <c r="Q395" s="181">
        <f>INDEX('Sac Parametreleri'!$F$11:$F$24,MATCH(F395,'Sac Parametreleri'!$A$11:$A$24,0))</f>
        <v>20.552727272727271</v>
      </c>
      <c r="R395" s="182">
        <f t="shared" si="30"/>
        <v>1.7397902565364673</v>
      </c>
      <c r="S395" s="182">
        <f t="shared" si="31"/>
        <v>1.7397902565364673</v>
      </c>
      <c r="T395" s="139">
        <f>K395*F395*'Sac Parametreleri'!$B$6*G395</f>
        <v>1.8779712</v>
      </c>
      <c r="U395" s="139">
        <f>N395*F395*'Sac Parametreleri'!$B$6*G395</f>
        <v>0.50222043498098856</v>
      </c>
      <c r="V395" s="139">
        <f>M395*F395*'Sac Parametreleri'!$B$6*G395</f>
        <v>2.3801916349809886</v>
      </c>
      <c r="W395" s="135" t="s">
        <v>1520</v>
      </c>
    </row>
    <row r="396" spans="1:23" ht="15" customHeight="1" x14ac:dyDescent="0.25">
      <c r="A396" s="135" t="s">
        <v>499</v>
      </c>
      <c r="B396" s="135">
        <v>1</v>
      </c>
      <c r="C396" s="135" t="s">
        <v>741</v>
      </c>
      <c r="D396" s="135" t="s">
        <v>740</v>
      </c>
      <c r="E396" s="135" t="s">
        <v>1552</v>
      </c>
      <c r="F396" s="135">
        <v>6</v>
      </c>
      <c r="G396" s="135">
        <v>1</v>
      </c>
      <c r="H396" s="135" t="s">
        <v>1746</v>
      </c>
      <c r="I396" s="178"/>
      <c r="J396" s="178"/>
      <c r="K396" s="179">
        <v>5.7133999999999997E-2</v>
      </c>
      <c r="L396" s="179">
        <v>0</v>
      </c>
      <c r="M396" s="180">
        <f>K396/(1-'Sac Parametreleri'!$B$29)</f>
        <v>7.2413181242078573E-2</v>
      </c>
      <c r="N396" s="180">
        <f t="shared" si="28"/>
        <v>1.5279181242078575E-2</v>
      </c>
      <c r="O396" s="138">
        <f t="shared" si="29"/>
        <v>0.21099999999999994</v>
      </c>
      <c r="P396" s="181">
        <f>IF(E396="Hardox 450",INDEX('Sac Parametreleri'!$G$11:$G$24,MATCH(F396,'Sac Parametreleri'!$A$11:$A$24,0)),INDEX('Sac Parametreleri'!$E$11:$E$24,MATCH(F396,'Sac Parametreleri'!$A$11:$A$24,0)))</f>
        <v>37.68</v>
      </c>
      <c r="Q396" s="181">
        <f>INDEX('Sac Parametreleri'!$F$11:$F$24,MATCH(F396,'Sac Parametreleri'!$A$11:$A$24,0))</f>
        <v>15.414545454545452</v>
      </c>
      <c r="R396" s="182">
        <f t="shared" si="30"/>
        <v>2.4930070354372624</v>
      </c>
      <c r="S396" s="182">
        <f t="shared" si="31"/>
        <v>2.4930070354372624</v>
      </c>
      <c r="T396" s="139">
        <f>K396*F396*'Sac Parametreleri'!$B$6*G396</f>
        <v>2.6910113999999998</v>
      </c>
      <c r="U396" s="139">
        <f>N396*F396*'Sac Parametreleri'!$B$6*G396</f>
        <v>0.71964943650190083</v>
      </c>
      <c r="V396" s="139">
        <f>M396*F396*'Sac Parametreleri'!$B$6*G396</f>
        <v>3.4106608365019007</v>
      </c>
      <c r="W396" s="135" t="s">
        <v>1520</v>
      </c>
    </row>
    <row r="397" spans="1:23" ht="15" customHeight="1" x14ac:dyDescent="0.25">
      <c r="A397" s="135" t="s">
        <v>499</v>
      </c>
      <c r="B397" s="135">
        <v>2</v>
      </c>
      <c r="C397" s="135" t="s">
        <v>1901</v>
      </c>
      <c r="D397" s="135" t="s">
        <v>1847</v>
      </c>
      <c r="E397" s="135" t="s">
        <v>1552</v>
      </c>
      <c r="F397" s="135">
        <v>6</v>
      </c>
      <c r="G397" s="135">
        <v>1</v>
      </c>
      <c r="H397" s="135" t="s">
        <v>1742</v>
      </c>
      <c r="I397" s="178"/>
      <c r="J397" s="178"/>
      <c r="K397" s="179">
        <v>1.1826E-2</v>
      </c>
      <c r="L397" s="179">
        <v>0</v>
      </c>
      <c r="M397" s="180">
        <f>K397/(1-'Sac Parametreleri'!$B$27)</f>
        <v>1.4421951219512194E-2</v>
      </c>
      <c r="N397" s="180">
        <f t="shared" si="28"/>
        <v>2.595951219512194E-3</v>
      </c>
      <c r="O397" s="138">
        <f t="shared" si="29"/>
        <v>0.17999999999999994</v>
      </c>
      <c r="P397" s="181">
        <f>IF(E397="Hardox 450",INDEX('Sac Parametreleri'!$G$11:$G$24,MATCH(F397,'Sac Parametreleri'!$A$11:$A$24,0)),INDEX('Sac Parametreleri'!$E$11:$E$24,MATCH(F397,'Sac Parametreleri'!$A$11:$A$24,0)))</f>
        <v>37.68</v>
      </c>
      <c r="Q397" s="181">
        <f>INDEX('Sac Parametreleri'!$F$11:$F$24,MATCH(F397,'Sac Parametreleri'!$A$11:$A$24,0))</f>
        <v>15.414545454545452</v>
      </c>
      <c r="R397" s="182">
        <f t="shared" si="30"/>
        <v>0.50340371388026606</v>
      </c>
      <c r="S397" s="182">
        <f t="shared" si="31"/>
        <v>0.50340371388026606</v>
      </c>
      <c r="T397" s="139">
        <f>K397*F397*'Sac Parametreleri'!$B$6*G397</f>
        <v>0.55700459999999996</v>
      </c>
      <c r="U397" s="139">
        <f>N397*F397*'Sac Parametreleri'!$B$6*G397</f>
        <v>0.12226930243902433</v>
      </c>
      <c r="V397" s="139">
        <f>M397*F397*'Sac Parametreleri'!$B$6*G397</f>
        <v>0.6792739024390243</v>
      </c>
      <c r="W397" s="135" t="s">
        <v>1520</v>
      </c>
    </row>
    <row r="398" spans="1:23" ht="15" customHeight="1" x14ac:dyDescent="0.25">
      <c r="A398" s="135" t="s">
        <v>516</v>
      </c>
      <c r="B398" s="135">
        <v>1</v>
      </c>
      <c r="C398" s="135" t="s">
        <v>878</v>
      </c>
      <c r="D398" s="135" t="s">
        <v>749</v>
      </c>
      <c r="E398" s="135" t="s">
        <v>1552</v>
      </c>
      <c r="F398" s="135">
        <v>3</v>
      </c>
      <c r="G398" s="135">
        <v>1</v>
      </c>
      <c r="H398" s="135" t="s">
        <v>1746</v>
      </c>
      <c r="I398" s="178"/>
      <c r="J398" s="178"/>
      <c r="K398" s="179">
        <v>0.117452</v>
      </c>
      <c r="L398" s="179">
        <v>0</v>
      </c>
      <c r="M398" s="180">
        <f>K398/(1-'Sac Parametreleri'!$B$29)</f>
        <v>0.14886185044359948</v>
      </c>
      <c r="N398" s="180">
        <f t="shared" si="28"/>
        <v>3.140985044359948E-2</v>
      </c>
      <c r="O398" s="138">
        <f t="shared" si="29"/>
        <v>0.21099999999999994</v>
      </c>
      <c r="P398" s="181">
        <f>IF(E398="Hardox 450",INDEX('Sac Parametreleri'!$G$11:$G$24,MATCH(F398,'Sac Parametreleri'!$A$11:$A$24,0)),INDEX('Sac Parametreleri'!$E$11:$E$24,MATCH(F398,'Sac Parametreleri'!$A$11:$A$24,0)))</f>
        <v>18.84</v>
      </c>
      <c r="Q398" s="181">
        <f>INDEX('Sac Parametreleri'!$F$11:$F$24,MATCH(F398,'Sac Parametreleri'!$A$11:$A$24,0))</f>
        <v>7.7072727272727262</v>
      </c>
      <c r="R398" s="182">
        <f t="shared" si="30"/>
        <v>2.5624729786657445</v>
      </c>
      <c r="S398" s="182">
        <f t="shared" si="31"/>
        <v>2.5624729786657445</v>
      </c>
      <c r="T398" s="139">
        <f>K398*F398*'Sac Parametreleri'!$B$6*G398</f>
        <v>2.7659946</v>
      </c>
      <c r="U398" s="139">
        <f>N398*F398*'Sac Parametreleri'!$B$6*G398</f>
        <v>0.73970197794676773</v>
      </c>
      <c r="V398" s="139">
        <f>M398*F398*'Sac Parametreleri'!$B$6*G398</f>
        <v>3.5056965779467677</v>
      </c>
      <c r="W398" s="135" t="s">
        <v>1520</v>
      </c>
    </row>
    <row r="399" spans="1:23" ht="15" customHeight="1" x14ac:dyDescent="0.25">
      <c r="A399" s="135" t="s">
        <v>516</v>
      </c>
      <c r="B399" s="135">
        <v>2</v>
      </c>
      <c r="C399" s="135" t="s">
        <v>1902</v>
      </c>
      <c r="D399" s="135" t="s">
        <v>749</v>
      </c>
      <c r="E399" s="135" t="s">
        <v>1552</v>
      </c>
      <c r="F399" s="135">
        <v>5</v>
      </c>
      <c r="G399" s="135">
        <v>2</v>
      </c>
      <c r="H399" s="135" t="s">
        <v>1742</v>
      </c>
      <c r="I399" s="178"/>
      <c r="J399" s="178"/>
      <c r="K399" s="179">
        <v>4.9680000000000002E-3</v>
      </c>
      <c r="L399" s="179">
        <v>0</v>
      </c>
      <c r="M399" s="180">
        <f>K399/(1-'Sac Parametreleri'!$B$27)</f>
        <v>6.0585365853658537E-3</v>
      </c>
      <c r="N399" s="180">
        <f t="shared" si="28"/>
        <v>1.0905365853658535E-3</v>
      </c>
      <c r="O399" s="138">
        <f t="shared" si="29"/>
        <v>0.17999999999999997</v>
      </c>
      <c r="P399" s="181">
        <f>IF(E399="Hardox 450",INDEX('Sac Parametreleri'!$G$11:$G$24,MATCH(F399,'Sac Parametreleri'!$A$11:$A$24,0)),INDEX('Sac Parametreleri'!$E$11:$E$24,MATCH(F399,'Sac Parametreleri'!$A$11:$A$24,0)))</f>
        <v>31.400000000000002</v>
      </c>
      <c r="Q399" s="181">
        <f>INDEX('Sac Parametreleri'!$F$11:$F$24,MATCH(F399,'Sac Parametreleri'!$A$11:$A$24,0))</f>
        <v>12.845454545454546</v>
      </c>
      <c r="R399" s="182">
        <f t="shared" si="30"/>
        <v>0.17622961064301551</v>
      </c>
      <c r="S399" s="182">
        <f t="shared" si="31"/>
        <v>0.35245922128603102</v>
      </c>
      <c r="T399" s="139">
        <f>K399*F399*'Sac Parametreleri'!$B$6*G399</f>
        <v>0.389988</v>
      </c>
      <c r="U399" s="139">
        <f>N399*F399*'Sac Parametreleri'!$B$6*G399</f>
        <v>8.56071219512195E-2</v>
      </c>
      <c r="V399" s="139">
        <f>M399*F399*'Sac Parametreleri'!$B$6*G399</f>
        <v>0.4755951219512195</v>
      </c>
      <c r="W399" s="135" t="s">
        <v>1520</v>
      </c>
    </row>
    <row r="400" spans="1:23" ht="15" customHeight="1" x14ac:dyDescent="0.25">
      <c r="A400" s="135" t="s">
        <v>518</v>
      </c>
      <c r="B400" s="135">
        <v>1</v>
      </c>
      <c r="C400" s="135" t="s">
        <v>966</v>
      </c>
      <c r="D400" s="135" t="s">
        <v>749</v>
      </c>
      <c r="E400" s="135" t="s">
        <v>1552</v>
      </c>
      <c r="F400" s="135">
        <v>5</v>
      </c>
      <c r="G400" s="135">
        <v>1</v>
      </c>
      <c r="H400" s="135" t="s">
        <v>1765</v>
      </c>
      <c r="I400" s="178"/>
      <c r="J400" s="178"/>
      <c r="K400" s="179">
        <v>5.7044999999999998E-2</v>
      </c>
      <c r="L400" s="179">
        <v>0</v>
      </c>
      <c r="M400" s="180">
        <f>K400/(1-'Sac Parametreleri'!$B$29)</f>
        <v>7.2300380228136882E-2</v>
      </c>
      <c r="N400" s="180">
        <f t="shared" si="28"/>
        <v>1.5255380228136883E-2</v>
      </c>
      <c r="O400" s="138">
        <f t="shared" si="29"/>
        <v>0.21100000000000002</v>
      </c>
      <c r="P400" s="181">
        <f>IF(E400="Hardox 450",INDEX('Sac Parametreleri'!$G$11:$G$24,MATCH(F400,'Sac Parametreleri'!$A$11:$A$24,0)),INDEX('Sac Parametreleri'!$E$11:$E$24,MATCH(F400,'Sac Parametreleri'!$A$11:$A$24,0)))</f>
        <v>31.400000000000002</v>
      </c>
      <c r="Q400" s="181">
        <f>INDEX('Sac Parametreleri'!$F$11:$F$24,MATCH(F400,'Sac Parametreleri'!$A$11:$A$24,0))</f>
        <v>12.845454545454546</v>
      </c>
      <c r="R400" s="182">
        <f t="shared" si="30"/>
        <v>2.0742696458693399</v>
      </c>
      <c r="S400" s="182">
        <f t="shared" si="31"/>
        <v>2.0742696458693399</v>
      </c>
      <c r="T400" s="139">
        <f>K400*F400*'Sac Parametreleri'!$B$6*G400</f>
        <v>2.2390162500000002</v>
      </c>
      <c r="U400" s="139">
        <f>N400*F400*'Sac Parametreleri'!$B$6*G400</f>
        <v>0.59877367395437264</v>
      </c>
      <c r="V400" s="139">
        <f>M400*F400*'Sac Parametreleri'!$B$6*G400</f>
        <v>2.8377899239543725</v>
      </c>
      <c r="W400" s="135" t="s">
        <v>1520</v>
      </c>
    </row>
    <row r="401" spans="1:23" ht="15" customHeight="1" x14ac:dyDescent="0.25">
      <c r="A401" s="135" t="s">
        <v>518</v>
      </c>
      <c r="B401" s="135">
        <v>2</v>
      </c>
      <c r="C401" s="135" t="s">
        <v>1903</v>
      </c>
      <c r="D401" s="135" t="s">
        <v>749</v>
      </c>
      <c r="E401" s="135" t="s">
        <v>1552</v>
      </c>
      <c r="F401" s="135">
        <v>5</v>
      </c>
      <c r="G401" s="135">
        <v>2</v>
      </c>
      <c r="H401" s="135" t="s">
        <v>1742</v>
      </c>
      <c r="I401" s="178"/>
      <c r="J401" s="178"/>
      <c r="K401" s="179">
        <v>1.0470999999999999E-2</v>
      </c>
      <c r="L401" s="179">
        <v>0</v>
      </c>
      <c r="M401" s="180">
        <f>K401/(1-'Sac Parametreleri'!$B$27)</f>
        <v>1.276951219512195E-2</v>
      </c>
      <c r="N401" s="180">
        <f t="shared" si="28"/>
        <v>2.2985121951219507E-3</v>
      </c>
      <c r="O401" s="138">
        <f t="shared" si="29"/>
        <v>0.17999999999999997</v>
      </c>
      <c r="P401" s="181">
        <f>IF(E401="Hardox 450",INDEX('Sac Parametreleri'!$G$11:$G$24,MATCH(F401,'Sac Parametreleri'!$A$11:$A$24,0)),INDEX('Sac Parametreleri'!$E$11:$E$24,MATCH(F401,'Sac Parametreleri'!$A$11:$A$24,0)))</f>
        <v>31.400000000000002</v>
      </c>
      <c r="Q401" s="181">
        <f>INDEX('Sac Parametreleri'!$F$11:$F$24,MATCH(F401,'Sac Parametreleri'!$A$11:$A$24,0))</f>
        <v>12.845454545454546</v>
      </c>
      <c r="R401" s="182">
        <f t="shared" si="30"/>
        <v>0.37143724900221725</v>
      </c>
      <c r="S401" s="182">
        <f t="shared" si="31"/>
        <v>0.7428744980044345</v>
      </c>
      <c r="T401" s="139">
        <f>K401*F401*'Sac Parametreleri'!$B$6*G401</f>
        <v>0.82197349999999991</v>
      </c>
      <c r="U401" s="139">
        <f>N401*F401*'Sac Parametreleri'!$B$6*G401</f>
        <v>0.18043320731707313</v>
      </c>
      <c r="V401" s="139">
        <f>M401*F401*'Sac Parametreleri'!$B$6*G401</f>
        <v>1.002406707317073</v>
      </c>
      <c r="W401" s="135" t="s">
        <v>1520</v>
      </c>
    </row>
    <row r="402" spans="1:23" ht="15" customHeight="1" x14ac:dyDescent="0.25">
      <c r="A402" s="135" t="s">
        <v>596</v>
      </c>
      <c r="B402" s="135">
        <v>1</v>
      </c>
      <c r="C402" s="135" t="s">
        <v>861</v>
      </c>
      <c r="D402" s="135" t="s">
        <v>774</v>
      </c>
      <c r="E402" s="135" t="s">
        <v>1552</v>
      </c>
      <c r="F402" s="135">
        <v>10</v>
      </c>
      <c r="G402" s="135">
        <v>1</v>
      </c>
      <c r="H402" s="135" t="s">
        <v>1765</v>
      </c>
      <c r="I402" s="178"/>
      <c r="J402" s="178"/>
      <c r="K402" s="179">
        <v>3.3146000000000002E-2</v>
      </c>
      <c r="L402" s="179">
        <v>0</v>
      </c>
      <c r="M402" s="180">
        <f>K402/(1-'Sac Parametreleri'!$B$29)</f>
        <v>4.2010139416983526E-2</v>
      </c>
      <c r="N402" s="180">
        <f t="shared" si="28"/>
        <v>8.8641394169835241E-3</v>
      </c>
      <c r="O402" s="138">
        <f t="shared" si="29"/>
        <v>0.21099999999999999</v>
      </c>
      <c r="P402" s="181">
        <f>IF(E402="Hardox 450",INDEX('Sac Parametreleri'!$G$11:$G$24,MATCH(F402,'Sac Parametreleri'!$A$11:$A$24,0)),INDEX('Sac Parametreleri'!$E$11:$E$24,MATCH(F402,'Sac Parametreleri'!$A$11:$A$24,0)))</f>
        <v>62.800000000000004</v>
      </c>
      <c r="Q402" s="181">
        <f>INDEX('Sac Parametreleri'!$F$11:$F$24,MATCH(F402,'Sac Parametreleri'!$A$11:$A$24,0))</f>
        <v>25.690909090909091</v>
      </c>
      <c r="R402" s="182">
        <f t="shared" si="30"/>
        <v>2.4105089554556982</v>
      </c>
      <c r="S402" s="182">
        <f t="shared" si="31"/>
        <v>2.4105089554556982</v>
      </c>
      <c r="T402" s="139">
        <f>K402*F402*'Sac Parametreleri'!$B$6*G402</f>
        <v>2.6019610000000002</v>
      </c>
      <c r="U402" s="139">
        <f>N402*F402*'Sac Parametreleri'!$B$6*G402</f>
        <v>0.69583494423320658</v>
      </c>
      <c r="V402" s="139">
        <f>M402*F402*'Sac Parametreleri'!$B$6*G402</f>
        <v>3.2977959442332065</v>
      </c>
      <c r="W402" s="135" t="s">
        <v>1520</v>
      </c>
    </row>
    <row r="403" spans="1:23" ht="15" customHeight="1" x14ac:dyDescent="0.25">
      <c r="A403" s="135" t="s">
        <v>596</v>
      </c>
      <c r="B403" s="135">
        <v>2</v>
      </c>
      <c r="C403" s="135" t="s">
        <v>1904</v>
      </c>
      <c r="D403" s="135" t="s">
        <v>774</v>
      </c>
      <c r="E403" s="135" t="s">
        <v>1552</v>
      </c>
      <c r="F403" s="135">
        <v>5</v>
      </c>
      <c r="G403" s="135">
        <v>1</v>
      </c>
      <c r="H403" s="135" t="s">
        <v>1742</v>
      </c>
      <c r="I403" s="178"/>
      <c r="J403" s="178"/>
      <c r="K403" s="179">
        <v>9.9620000000000004E-3</v>
      </c>
      <c r="L403" s="179">
        <v>0</v>
      </c>
      <c r="M403" s="180">
        <f>K403/(1-'Sac Parametreleri'!$B$27)</f>
        <v>1.2148780487804878E-2</v>
      </c>
      <c r="N403" s="180">
        <f t="shared" si="28"/>
        <v>2.1867804878048774E-3</v>
      </c>
      <c r="O403" s="138">
        <f t="shared" si="29"/>
        <v>0.17999999999999994</v>
      </c>
      <c r="P403" s="181">
        <f>IF(E403="Hardox 450",INDEX('Sac Parametreleri'!$G$11:$G$24,MATCH(F403,'Sac Parametreleri'!$A$11:$A$24,0)),INDEX('Sac Parametreleri'!$E$11:$E$24,MATCH(F403,'Sac Parametreleri'!$A$11:$A$24,0)))</f>
        <v>31.400000000000002</v>
      </c>
      <c r="Q403" s="181">
        <f>INDEX('Sac Parametreleri'!$F$11:$F$24,MATCH(F403,'Sac Parametreleri'!$A$11:$A$24,0))</f>
        <v>12.845454545454546</v>
      </c>
      <c r="R403" s="182">
        <f t="shared" si="30"/>
        <v>0.35338151796008871</v>
      </c>
      <c r="S403" s="182">
        <f t="shared" si="31"/>
        <v>0.35338151796008871</v>
      </c>
      <c r="T403" s="139">
        <f>K403*F403*'Sac Parametreleri'!$B$6*G403</f>
        <v>0.39100849999999998</v>
      </c>
      <c r="U403" s="139">
        <f>N403*F403*'Sac Parametreleri'!$B$6*G403</f>
        <v>8.5831134146341428E-2</v>
      </c>
      <c r="V403" s="139">
        <f>M403*F403*'Sac Parametreleri'!$B$6*G403</f>
        <v>0.47683963414634145</v>
      </c>
      <c r="W403" s="135" t="s">
        <v>1520</v>
      </c>
    </row>
    <row r="404" spans="1:23" ht="15" customHeight="1" x14ac:dyDescent="0.25">
      <c r="A404" s="135" t="s">
        <v>596</v>
      </c>
      <c r="B404" s="135">
        <v>3</v>
      </c>
      <c r="C404" s="135" t="s">
        <v>1905</v>
      </c>
      <c r="D404" s="135" t="s">
        <v>774</v>
      </c>
      <c r="E404" s="135" t="s">
        <v>1552</v>
      </c>
      <c r="F404" s="135">
        <v>5</v>
      </c>
      <c r="G404" s="135">
        <v>1</v>
      </c>
      <c r="H404" s="135" t="s">
        <v>1742</v>
      </c>
      <c r="I404" s="178"/>
      <c r="J404" s="178"/>
      <c r="K404" s="179">
        <v>4.2290000000000001E-3</v>
      </c>
      <c r="L404" s="179">
        <v>0</v>
      </c>
      <c r="M404" s="180">
        <f>K404/(1-'Sac Parametreleri'!$B$27)</f>
        <v>5.1573170731707314E-3</v>
      </c>
      <c r="N404" s="180">
        <f t="shared" si="28"/>
        <v>9.2831707317073131E-4</v>
      </c>
      <c r="O404" s="138">
        <f t="shared" si="29"/>
        <v>0.17999999999999994</v>
      </c>
      <c r="P404" s="181">
        <f>IF(E404="Hardox 450",INDEX('Sac Parametreleri'!$G$11:$G$24,MATCH(F404,'Sac Parametreleri'!$A$11:$A$24,0)),INDEX('Sac Parametreleri'!$E$11:$E$24,MATCH(F404,'Sac Parametreleri'!$A$11:$A$24,0)))</f>
        <v>31.400000000000002</v>
      </c>
      <c r="Q404" s="181">
        <f>INDEX('Sac Parametreleri'!$F$11:$F$24,MATCH(F404,'Sac Parametreleri'!$A$11:$A$24,0))</f>
        <v>12.845454545454546</v>
      </c>
      <c r="R404" s="182">
        <f t="shared" si="30"/>
        <v>0.15001510133037693</v>
      </c>
      <c r="S404" s="182">
        <f t="shared" si="31"/>
        <v>0.15001510133037693</v>
      </c>
      <c r="T404" s="139">
        <f>K404*F404*'Sac Parametreleri'!$B$6*G404</f>
        <v>0.16598825</v>
      </c>
      <c r="U404" s="139">
        <f>N404*F404*'Sac Parametreleri'!$B$6*G404</f>
        <v>3.6436445121951204E-2</v>
      </c>
      <c r="V404" s="139">
        <f>M404*F404*'Sac Parametreleri'!$B$6*G404</f>
        <v>0.20242469512195119</v>
      </c>
      <c r="W404" s="135" t="s">
        <v>1520</v>
      </c>
    </row>
    <row r="405" spans="1:23" ht="15" customHeight="1" x14ac:dyDescent="0.25">
      <c r="A405" s="135" t="s">
        <v>618</v>
      </c>
      <c r="B405" s="135">
        <v>1</v>
      </c>
      <c r="C405" s="135" t="s">
        <v>1906</v>
      </c>
      <c r="D405" s="135" t="s">
        <v>749</v>
      </c>
      <c r="E405" s="135" t="s">
        <v>1552</v>
      </c>
      <c r="F405" s="135">
        <v>30</v>
      </c>
      <c r="G405" s="135">
        <v>1</v>
      </c>
      <c r="H405" s="135" t="s">
        <v>1742</v>
      </c>
      <c r="I405" s="178"/>
      <c r="J405" s="178"/>
      <c r="K405" s="179">
        <v>9.1760000000000001E-3</v>
      </c>
      <c r="L405" s="179">
        <v>0</v>
      </c>
      <c r="M405" s="180">
        <f>K405/(1-'Sac Parametreleri'!$B$27)</f>
        <v>1.1190243902439024E-2</v>
      </c>
      <c r="N405" s="180">
        <f t="shared" si="28"/>
        <v>2.0142439024390234E-3</v>
      </c>
      <c r="O405" s="138">
        <f t="shared" si="29"/>
        <v>0.17999999999999994</v>
      </c>
      <c r="P405" s="181">
        <f>IF(E405="Hardox 450",INDEX('Sac Parametreleri'!$G$11:$G$24,MATCH(F405,'Sac Parametreleri'!$A$11:$A$24,0)),INDEX('Sac Parametreleri'!$E$11:$E$24,MATCH(F405,'Sac Parametreleri'!$A$11:$A$24,0)))</f>
        <v>188.4</v>
      </c>
      <c r="Q405" s="181">
        <f>INDEX('Sac Parametreleri'!$F$11:$F$24,MATCH(F405,'Sac Parametreleri'!$A$11:$A$24,0))</f>
        <v>77.072727272727278</v>
      </c>
      <c r="R405" s="182">
        <f t="shared" si="30"/>
        <v>1.9529986802660753</v>
      </c>
      <c r="S405" s="182">
        <f t="shared" si="31"/>
        <v>1.9529986802660753</v>
      </c>
      <c r="T405" s="139">
        <f>K405*F405*'Sac Parametreleri'!$B$6*G405</f>
        <v>2.1609480000000003</v>
      </c>
      <c r="U405" s="139">
        <f>N405*F405*'Sac Parametreleri'!$B$6*G405</f>
        <v>0.47435443902438995</v>
      </c>
      <c r="V405" s="139">
        <f>M405*F405*'Sac Parametreleri'!$B$6*G405</f>
        <v>2.63530243902439</v>
      </c>
      <c r="W405" s="135" t="s">
        <v>1520</v>
      </c>
    </row>
    <row r="406" spans="1:23" ht="15" customHeight="1" x14ac:dyDescent="0.25">
      <c r="A406" s="135" t="s">
        <v>618</v>
      </c>
      <c r="B406" s="135">
        <v>2</v>
      </c>
      <c r="C406" s="135" t="s">
        <v>794</v>
      </c>
      <c r="D406" s="135" t="s">
        <v>774</v>
      </c>
      <c r="E406" s="135" t="s">
        <v>1552</v>
      </c>
      <c r="F406" s="135">
        <v>8</v>
      </c>
      <c r="G406" s="135">
        <v>1</v>
      </c>
      <c r="H406" s="135" t="s">
        <v>1746</v>
      </c>
      <c r="I406" s="178"/>
      <c r="J406" s="178"/>
      <c r="K406" s="179">
        <v>1.5414000000000001E-2</v>
      </c>
      <c r="L406" s="179">
        <v>0</v>
      </c>
      <c r="M406" s="180">
        <f>K406/(1-'Sac Parametreleri'!$B$29)</f>
        <v>1.9536121673003802E-2</v>
      </c>
      <c r="N406" s="180">
        <f t="shared" si="28"/>
        <v>4.1221216730038014E-3</v>
      </c>
      <c r="O406" s="138">
        <f t="shared" si="29"/>
        <v>0.21099999999999997</v>
      </c>
      <c r="P406" s="181">
        <f>IF(E406="Hardox 450",INDEX('Sac Parametreleri'!$G$11:$G$24,MATCH(F406,'Sac Parametreleri'!$A$11:$A$24,0)),INDEX('Sac Parametreleri'!$E$11:$E$24,MATCH(F406,'Sac Parametreleri'!$A$11:$A$24,0)))</f>
        <v>50.24</v>
      </c>
      <c r="Q406" s="181">
        <f>INDEX('Sac Parametreleri'!$F$11:$F$24,MATCH(F406,'Sac Parametreleri'!$A$11:$A$24,0))</f>
        <v>20.552727272727271</v>
      </c>
      <c r="R406" s="182">
        <f t="shared" si="30"/>
        <v>0.89677391032146569</v>
      </c>
      <c r="S406" s="182">
        <f t="shared" si="31"/>
        <v>0.89677391032146569</v>
      </c>
      <c r="T406" s="139">
        <f>K406*F406*'Sac Parametreleri'!$B$6*G406</f>
        <v>0.96799919999999995</v>
      </c>
      <c r="U406" s="139">
        <f>N406*F406*'Sac Parametreleri'!$B$6*G406</f>
        <v>0.25886924106463871</v>
      </c>
      <c r="V406" s="139">
        <f>M406*F406*'Sac Parametreleri'!$B$6*G406</f>
        <v>1.2268684410646387</v>
      </c>
      <c r="W406" s="135" t="s">
        <v>1520</v>
      </c>
    </row>
    <row r="407" spans="1:23" ht="15" customHeight="1" x14ac:dyDescent="0.25">
      <c r="A407" s="135" t="s">
        <v>498</v>
      </c>
      <c r="B407" s="135">
        <v>1</v>
      </c>
      <c r="C407" s="135" t="s">
        <v>737</v>
      </c>
      <c r="D407" s="135" t="s">
        <v>738</v>
      </c>
      <c r="E407" s="135" t="s">
        <v>1552</v>
      </c>
      <c r="F407" s="135">
        <v>6</v>
      </c>
      <c r="G407" s="135">
        <v>1</v>
      </c>
      <c r="H407" s="135" t="s">
        <v>1746</v>
      </c>
      <c r="I407" s="178"/>
      <c r="J407" s="178"/>
      <c r="K407" s="179">
        <v>6.0063999999999999E-2</v>
      </c>
      <c r="L407" s="179">
        <v>0</v>
      </c>
      <c r="M407" s="180">
        <f>K407/(1-'Sac Parametreleri'!$B$29)</f>
        <v>7.612674271229404E-2</v>
      </c>
      <c r="N407" s="180">
        <f t="shared" si="28"/>
        <v>1.6062742712294041E-2</v>
      </c>
      <c r="O407" s="138">
        <f t="shared" si="29"/>
        <v>0.21099999999999999</v>
      </c>
      <c r="P407" s="181">
        <f>IF(E407="Hardox 450",INDEX('Sac Parametreleri'!$G$11:$G$24,MATCH(F407,'Sac Parametreleri'!$A$11:$A$24,0)),INDEX('Sac Parametreleri'!$E$11:$E$24,MATCH(F407,'Sac Parametreleri'!$A$11:$A$24,0)))</f>
        <v>37.68</v>
      </c>
      <c r="Q407" s="181">
        <f>INDEX('Sac Parametreleri'!$F$11:$F$24,MATCH(F407,'Sac Parametreleri'!$A$11:$A$24,0))</f>
        <v>15.414545454545452</v>
      </c>
      <c r="R407" s="182">
        <f t="shared" si="30"/>
        <v>2.620855787735914</v>
      </c>
      <c r="S407" s="182">
        <f t="shared" si="31"/>
        <v>2.620855787735914</v>
      </c>
      <c r="T407" s="139">
        <f>K407*F407*'Sac Parametreleri'!$B$6*G407</f>
        <v>2.8290143999999997</v>
      </c>
      <c r="U407" s="139">
        <f>N407*F407*'Sac Parametreleri'!$B$6*G407</f>
        <v>0.75655518174904934</v>
      </c>
      <c r="V407" s="139">
        <f>M407*F407*'Sac Parametreleri'!$B$6*G407</f>
        <v>3.5855695817490494</v>
      </c>
      <c r="W407" s="135" t="s">
        <v>1520</v>
      </c>
    </row>
    <row r="408" spans="1:23" ht="15" customHeight="1" x14ac:dyDescent="0.25">
      <c r="A408" s="135" t="s">
        <v>498</v>
      </c>
      <c r="B408" s="135">
        <v>2</v>
      </c>
      <c r="C408" s="135" t="s">
        <v>1907</v>
      </c>
      <c r="D408" s="135" t="s">
        <v>774</v>
      </c>
      <c r="E408" s="135" t="s">
        <v>1552</v>
      </c>
      <c r="F408" s="135">
        <v>6</v>
      </c>
      <c r="G408" s="135">
        <v>1</v>
      </c>
      <c r="H408" s="135" t="s">
        <v>1742</v>
      </c>
      <c r="I408" s="178"/>
      <c r="J408" s="178"/>
      <c r="K408" s="179">
        <v>6.4330000000000003E-3</v>
      </c>
      <c r="L408" s="179">
        <v>0</v>
      </c>
      <c r="M408" s="180">
        <f>K408/(1-'Sac Parametreleri'!$B$27)</f>
        <v>7.8451219512195112E-3</v>
      </c>
      <c r="N408" s="180">
        <f t="shared" si="28"/>
        <v>1.4121219512195108E-3</v>
      </c>
      <c r="O408" s="138">
        <f t="shared" si="29"/>
        <v>0.17999999999999985</v>
      </c>
      <c r="P408" s="181">
        <f>IF(E408="Hardox 450",INDEX('Sac Parametreleri'!$G$11:$G$24,MATCH(F408,'Sac Parametreleri'!$A$11:$A$24,0)),INDEX('Sac Parametreleri'!$E$11:$E$24,MATCH(F408,'Sac Parametreleri'!$A$11:$A$24,0)))</f>
        <v>37.68</v>
      </c>
      <c r="Q408" s="181">
        <f>INDEX('Sac Parametreleri'!$F$11:$F$24,MATCH(F408,'Sac Parametreleri'!$A$11:$A$24,0))</f>
        <v>15.414545454545452</v>
      </c>
      <c r="R408" s="182">
        <f t="shared" si="30"/>
        <v>0.27383697711751664</v>
      </c>
      <c r="S408" s="182">
        <f t="shared" si="31"/>
        <v>0.27383697711751664</v>
      </c>
      <c r="T408" s="139">
        <f>K408*F408*'Sac Parametreleri'!$B$6*G408</f>
        <v>0.30299429999999999</v>
      </c>
      <c r="U408" s="139">
        <f>N408*F408*'Sac Parametreleri'!$B$6*G408</f>
        <v>6.651094390243896E-2</v>
      </c>
      <c r="V408" s="139">
        <f>M408*F408*'Sac Parametreleri'!$B$6*G408</f>
        <v>0.369505243902439</v>
      </c>
      <c r="W408" s="135" t="s">
        <v>1520</v>
      </c>
    </row>
    <row r="409" spans="1:23" ht="15" customHeight="1" x14ac:dyDescent="0.25">
      <c r="A409" s="135" t="s">
        <v>528</v>
      </c>
      <c r="B409" s="135">
        <v>1</v>
      </c>
      <c r="C409" s="135" t="s">
        <v>750</v>
      </c>
      <c r="D409" s="135" t="s">
        <v>751</v>
      </c>
      <c r="E409" s="135" t="s">
        <v>1552</v>
      </c>
      <c r="F409" s="135">
        <v>8</v>
      </c>
      <c r="G409" s="135">
        <v>1</v>
      </c>
      <c r="H409" s="135" t="s">
        <v>1746</v>
      </c>
      <c r="I409" s="178"/>
      <c r="J409" s="178"/>
      <c r="K409" s="179">
        <v>4.0731999999999997E-2</v>
      </c>
      <c r="L409" s="179">
        <v>0</v>
      </c>
      <c r="M409" s="180">
        <f>K409/(1-'Sac Parametreleri'!$B$29)</f>
        <v>5.1624841571609625E-2</v>
      </c>
      <c r="N409" s="180">
        <f t="shared" si="28"/>
        <v>1.0892841571609628E-2</v>
      </c>
      <c r="O409" s="138">
        <f t="shared" si="29"/>
        <v>0.21099999999999994</v>
      </c>
      <c r="P409" s="181">
        <f>IF(E409="Hardox 450",INDEX('Sac Parametreleri'!$G$11:$G$24,MATCH(F409,'Sac Parametreleri'!$A$11:$A$24,0)),INDEX('Sac Parametreleri'!$E$11:$E$24,MATCH(F409,'Sac Parametreleri'!$A$11:$A$24,0)))</f>
        <v>50.24</v>
      </c>
      <c r="Q409" s="181">
        <f>INDEX('Sac Parametreleri'!$F$11:$F$24,MATCH(F409,'Sac Parametreleri'!$A$11:$A$24,0))</f>
        <v>20.552727272727271</v>
      </c>
      <c r="R409" s="182">
        <f t="shared" si="30"/>
        <v>2.3697544385113494</v>
      </c>
      <c r="S409" s="182">
        <f t="shared" si="31"/>
        <v>2.3697544385113494</v>
      </c>
      <c r="T409" s="139">
        <f>K409*F409*'Sac Parametreleri'!$B$6*G409</f>
        <v>2.5579695999999998</v>
      </c>
      <c r="U409" s="139">
        <f>N409*F409*'Sac Parametreleri'!$B$6*G409</f>
        <v>0.68407045069708461</v>
      </c>
      <c r="V409" s="139">
        <f>M409*F409*'Sac Parametreleri'!$B$6*G409</f>
        <v>3.2420400506970841</v>
      </c>
      <c r="W409" s="135" t="s">
        <v>1520</v>
      </c>
    </row>
    <row r="410" spans="1:23" ht="15" customHeight="1" x14ac:dyDescent="0.25">
      <c r="A410" s="135" t="s">
        <v>528</v>
      </c>
      <c r="B410" s="135">
        <v>2</v>
      </c>
      <c r="C410" s="135" t="s">
        <v>1908</v>
      </c>
      <c r="D410" s="135" t="s">
        <v>1909</v>
      </c>
      <c r="E410" s="135" t="s">
        <v>1552</v>
      </c>
      <c r="F410" s="135">
        <v>10</v>
      </c>
      <c r="G410" s="135">
        <v>1</v>
      </c>
      <c r="H410" s="135" t="s">
        <v>1742</v>
      </c>
      <c r="I410" s="178"/>
      <c r="J410" s="178"/>
      <c r="K410" s="179">
        <v>4.9550000000000002E-3</v>
      </c>
      <c r="L410" s="179">
        <v>0</v>
      </c>
      <c r="M410" s="180">
        <f>K410/(1-'Sac Parametreleri'!$B$27)</f>
        <v>6.0426829268292685E-3</v>
      </c>
      <c r="N410" s="180">
        <f t="shared" si="28"/>
        <v>1.0876829268292683E-3</v>
      </c>
      <c r="O410" s="138">
        <f t="shared" si="29"/>
        <v>0.18</v>
      </c>
      <c r="P410" s="181">
        <f>IF(E410="Hardox 450",INDEX('Sac Parametreleri'!$G$11:$G$24,MATCH(F410,'Sac Parametreleri'!$A$11:$A$24,0)),INDEX('Sac Parametreleri'!$E$11:$E$24,MATCH(F410,'Sac Parametreleri'!$A$11:$A$24,0)))</f>
        <v>62.800000000000004</v>
      </c>
      <c r="Q410" s="181">
        <f>INDEX('Sac Parametreleri'!$F$11:$F$24,MATCH(F410,'Sac Parametreleri'!$A$11:$A$24,0))</f>
        <v>25.690909090909091</v>
      </c>
      <c r="R410" s="182">
        <f t="shared" si="30"/>
        <v>0.35153692461197344</v>
      </c>
      <c r="S410" s="182">
        <f t="shared" si="31"/>
        <v>0.35153692461197344</v>
      </c>
      <c r="T410" s="139">
        <f>K410*F410*'Sac Parametreleri'!$B$6*G410</f>
        <v>0.38896750000000002</v>
      </c>
      <c r="U410" s="139">
        <f>N410*F410*'Sac Parametreleri'!$B$6*G410</f>
        <v>8.5383109756097558E-2</v>
      </c>
      <c r="V410" s="139">
        <f>M410*F410*'Sac Parametreleri'!$B$6*G410</f>
        <v>0.47435060975609755</v>
      </c>
      <c r="W410" s="135" t="s">
        <v>1520</v>
      </c>
    </row>
    <row r="411" spans="1:23" ht="15" customHeight="1" x14ac:dyDescent="0.25">
      <c r="A411" s="135" t="s">
        <v>461</v>
      </c>
      <c r="B411" s="135">
        <v>1</v>
      </c>
      <c r="C411" s="135" t="s">
        <v>1910</v>
      </c>
      <c r="D411" s="135" t="s">
        <v>1911</v>
      </c>
      <c r="E411" s="135" t="s">
        <v>1552</v>
      </c>
      <c r="F411" s="135">
        <v>4</v>
      </c>
      <c r="G411" s="135">
        <v>1</v>
      </c>
      <c r="H411" s="135" t="s">
        <v>1742</v>
      </c>
      <c r="I411" s="178"/>
      <c r="J411" s="178"/>
      <c r="K411" s="179">
        <v>3.3758000000000003E-2</v>
      </c>
      <c r="L411" s="179">
        <v>0</v>
      </c>
      <c r="M411" s="180">
        <f>K411/(1-'Sac Parametreleri'!$B$27)</f>
        <v>4.1168292682926828E-2</v>
      </c>
      <c r="N411" s="180">
        <f t="shared" si="28"/>
        <v>7.4102926829268251E-3</v>
      </c>
      <c r="O411" s="138">
        <f t="shared" si="29"/>
        <v>0.17999999999999991</v>
      </c>
      <c r="P411" s="181">
        <f>IF(E411="Hardox 450",INDEX('Sac Parametreleri'!$G$11:$G$24,MATCH(F411,'Sac Parametreleri'!$A$11:$A$24,0)),INDEX('Sac Parametreleri'!$E$11:$E$24,MATCH(F411,'Sac Parametreleri'!$A$11:$A$24,0)))</f>
        <v>25.12</v>
      </c>
      <c r="Q411" s="181">
        <f>INDEX('Sac Parametreleri'!$F$11:$F$24,MATCH(F411,'Sac Parametreleri'!$A$11:$A$24,0))</f>
        <v>10.276363636363635</v>
      </c>
      <c r="R411" s="182">
        <f t="shared" si="30"/>
        <v>0.95799664993348133</v>
      </c>
      <c r="S411" s="182">
        <f t="shared" si="31"/>
        <v>0.95799664993348133</v>
      </c>
      <c r="T411" s="139">
        <f>K411*F411*'Sac Parametreleri'!$B$6*G411</f>
        <v>1.0600012000000001</v>
      </c>
      <c r="U411" s="139">
        <f>N411*F411*'Sac Parametreleri'!$B$6*G411</f>
        <v>0.2326831902439023</v>
      </c>
      <c r="V411" s="139">
        <f>M411*F411*'Sac Parametreleri'!$B$6*G411</f>
        <v>1.2926843902439022</v>
      </c>
      <c r="W411" s="135" t="s">
        <v>1520</v>
      </c>
    </row>
    <row r="412" spans="1:23" ht="15" customHeight="1" x14ac:dyDescent="0.25">
      <c r="A412" s="135" t="s">
        <v>623</v>
      </c>
      <c r="B412" s="135">
        <v>1</v>
      </c>
      <c r="C412" s="135" t="s">
        <v>754</v>
      </c>
      <c r="D412" s="135" t="s">
        <v>755</v>
      </c>
      <c r="E412" s="135" t="s">
        <v>1552</v>
      </c>
      <c r="F412" s="135">
        <v>8</v>
      </c>
      <c r="G412" s="135">
        <v>1</v>
      </c>
      <c r="H412" s="135" t="s">
        <v>1746</v>
      </c>
      <c r="I412" s="178"/>
      <c r="J412" s="178"/>
      <c r="K412" s="179">
        <v>4.0159E-2</v>
      </c>
      <c r="L412" s="179">
        <v>0</v>
      </c>
      <c r="M412" s="180">
        <f>K412/(1-'Sac Parametreleri'!$B$29)</f>
        <v>5.0898605830164763E-2</v>
      </c>
      <c r="N412" s="180">
        <f t="shared" si="28"/>
        <v>1.0739605830164763E-2</v>
      </c>
      <c r="O412" s="138">
        <f t="shared" si="29"/>
        <v>0.21099999999999997</v>
      </c>
      <c r="P412" s="181">
        <f>IF(E412="Hardox 450",INDEX('Sac Parametreleri'!$G$11:$G$24,MATCH(F412,'Sac Parametreleri'!$A$11:$A$24,0)),INDEX('Sac Parametreleri'!$E$11:$E$24,MATCH(F412,'Sac Parametreleri'!$A$11:$A$24,0)))</f>
        <v>50.24</v>
      </c>
      <c r="Q412" s="181">
        <f>INDEX('Sac Parametreleri'!$F$11:$F$24,MATCH(F412,'Sac Parametreleri'!$A$11:$A$24,0))</f>
        <v>20.552727272727271</v>
      </c>
      <c r="R412" s="182">
        <f t="shared" si="30"/>
        <v>2.3364177672635096</v>
      </c>
      <c r="S412" s="182">
        <f t="shared" si="31"/>
        <v>2.3364177672635096</v>
      </c>
      <c r="T412" s="139">
        <f>K412*F412*'Sac Parametreleri'!$B$6*G412</f>
        <v>2.5219852</v>
      </c>
      <c r="U412" s="139">
        <f>N412*F412*'Sac Parametreleri'!$B$6*G412</f>
        <v>0.67444724613434703</v>
      </c>
      <c r="V412" s="139">
        <f>M412*F412*'Sac Parametreleri'!$B$6*G412</f>
        <v>3.196432446134347</v>
      </c>
      <c r="W412" s="135" t="s">
        <v>1520</v>
      </c>
    </row>
    <row r="413" spans="1:23" ht="15" customHeight="1" x14ac:dyDescent="0.25">
      <c r="A413" s="135" t="s">
        <v>623</v>
      </c>
      <c r="B413" s="135">
        <v>2</v>
      </c>
      <c r="C413" s="135" t="s">
        <v>1912</v>
      </c>
      <c r="D413" s="135" t="s">
        <v>1913</v>
      </c>
      <c r="E413" s="135" t="s">
        <v>1552</v>
      </c>
      <c r="F413" s="135">
        <v>6</v>
      </c>
      <c r="G413" s="135">
        <v>1</v>
      </c>
      <c r="H413" s="135" t="s">
        <v>1742</v>
      </c>
      <c r="I413" s="178"/>
      <c r="J413" s="178"/>
      <c r="K413" s="179">
        <v>7.0699999999999999E-3</v>
      </c>
      <c r="L413" s="179">
        <v>0</v>
      </c>
      <c r="M413" s="180">
        <f>K413/(1-'Sac Parametreleri'!$B$27)</f>
        <v>8.6219512195121941E-3</v>
      </c>
      <c r="N413" s="180">
        <f t="shared" si="28"/>
        <v>1.5519512195121942E-3</v>
      </c>
      <c r="O413" s="138">
        <f t="shared" si="29"/>
        <v>0.17999999999999991</v>
      </c>
      <c r="P413" s="181">
        <f>IF(E413="Hardox 450",INDEX('Sac Parametreleri'!$G$11:$G$24,MATCH(F413,'Sac Parametreleri'!$A$11:$A$24,0)),INDEX('Sac Parametreleri'!$E$11:$E$24,MATCH(F413,'Sac Parametreleri'!$A$11:$A$24,0)))</f>
        <v>37.68</v>
      </c>
      <c r="Q413" s="181">
        <f>INDEX('Sac Parametreleri'!$F$11:$F$24,MATCH(F413,'Sac Parametreleri'!$A$11:$A$24,0))</f>
        <v>15.414545454545452</v>
      </c>
      <c r="R413" s="182">
        <f t="shared" si="30"/>
        <v>0.3009524993348115</v>
      </c>
      <c r="S413" s="182">
        <f t="shared" si="31"/>
        <v>0.3009524993348115</v>
      </c>
      <c r="T413" s="139">
        <f>K413*F413*'Sac Parametreleri'!$B$6*G413</f>
        <v>0.33299699999999999</v>
      </c>
      <c r="U413" s="139">
        <f>N413*F413*'Sac Parametreleri'!$B$6*G413</f>
        <v>7.309690243902435E-2</v>
      </c>
      <c r="V413" s="139">
        <f>M413*F413*'Sac Parametreleri'!$B$6*G413</f>
        <v>0.40609390243902432</v>
      </c>
      <c r="W413" s="135" t="s">
        <v>1520</v>
      </c>
    </row>
    <row r="414" spans="1:23" ht="15" customHeight="1" x14ac:dyDescent="0.25">
      <c r="A414" s="135" t="s">
        <v>469</v>
      </c>
      <c r="B414" s="135">
        <v>1</v>
      </c>
      <c r="C414" s="135" t="s">
        <v>965</v>
      </c>
      <c r="D414" s="135" t="s">
        <v>749</v>
      </c>
      <c r="E414" s="135" t="s">
        <v>1552</v>
      </c>
      <c r="F414" s="135">
        <v>5</v>
      </c>
      <c r="G414" s="135">
        <v>1</v>
      </c>
      <c r="H414" s="135" t="s">
        <v>1765</v>
      </c>
      <c r="I414" s="178"/>
      <c r="J414" s="178"/>
      <c r="K414" s="179">
        <v>6.0840999999999999E-2</v>
      </c>
      <c r="L414" s="179">
        <v>0</v>
      </c>
      <c r="M414" s="180">
        <f>K414/(1-'Sac Parametreleri'!$B$29)</f>
        <v>7.7111533586818756E-2</v>
      </c>
      <c r="N414" s="180">
        <f t="shared" si="28"/>
        <v>1.6270533586818757E-2</v>
      </c>
      <c r="O414" s="138">
        <f t="shared" si="29"/>
        <v>0.21099999999999999</v>
      </c>
      <c r="P414" s="181">
        <f>IF(E414="Hardox 450",INDEX('Sac Parametreleri'!$G$11:$G$24,MATCH(F414,'Sac Parametreleri'!$A$11:$A$24,0)),INDEX('Sac Parametreleri'!$E$11:$E$24,MATCH(F414,'Sac Parametreleri'!$A$11:$A$24,0)))</f>
        <v>31.400000000000002</v>
      </c>
      <c r="Q414" s="181">
        <f>INDEX('Sac Parametreleri'!$F$11:$F$24,MATCH(F414,'Sac Parametreleri'!$A$11:$A$24,0))</f>
        <v>12.845454545454546</v>
      </c>
      <c r="R414" s="182">
        <f t="shared" si="30"/>
        <v>2.2122997550063372</v>
      </c>
      <c r="S414" s="182">
        <f t="shared" si="31"/>
        <v>2.2122997550063372</v>
      </c>
      <c r="T414" s="139">
        <f>K414*F414*'Sac Parametreleri'!$B$6*G414</f>
        <v>2.3880092500000001</v>
      </c>
      <c r="U414" s="139">
        <f>N414*F414*'Sac Parametreleri'!$B$6*G414</f>
        <v>0.63861844328263628</v>
      </c>
      <c r="V414" s="139">
        <f>M414*F414*'Sac Parametreleri'!$B$6*G414</f>
        <v>3.0266276932826361</v>
      </c>
      <c r="W414" s="135" t="s">
        <v>1520</v>
      </c>
    </row>
    <row r="415" spans="1:23" ht="15" customHeight="1" x14ac:dyDescent="0.25">
      <c r="A415" s="135" t="s">
        <v>469</v>
      </c>
      <c r="B415" s="135">
        <v>2</v>
      </c>
      <c r="C415" s="135" t="s">
        <v>1914</v>
      </c>
      <c r="D415" s="135" t="s">
        <v>749</v>
      </c>
      <c r="E415" s="135" t="s">
        <v>1552</v>
      </c>
      <c r="F415" s="135">
        <v>5</v>
      </c>
      <c r="G415" s="135">
        <v>2</v>
      </c>
      <c r="H415" s="135" t="s">
        <v>1742</v>
      </c>
      <c r="I415" s="178"/>
      <c r="J415" s="178"/>
      <c r="K415" s="179">
        <v>4.6109999999999996E-3</v>
      </c>
      <c r="L415" s="179">
        <v>0</v>
      </c>
      <c r="M415" s="180">
        <f>K415/(1-'Sac Parametreleri'!$B$27)</f>
        <v>5.6231707317073165E-3</v>
      </c>
      <c r="N415" s="180">
        <f t="shared" si="28"/>
        <v>1.0121707317073169E-3</v>
      </c>
      <c r="O415" s="138">
        <f t="shared" si="29"/>
        <v>0.18</v>
      </c>
      <c r="P415" s="181">
        <f>IF(E415="Hardox 450",INDEX('Sac Parametreleri'!$G$11:$G$24,MATCH(F415,'Sac Parametreleri'!$A$11:$A$24,0)),INDEX('Sac Parametreleri'!$E$11:$E$24,MATCH(F415,'Sac Parametreleri'!$A$11:$A$24,0)))</f>
        <v>31.400000000000002</v>
      </c>
      <c r="Q415" s="181">
        <f>INDEX('Sac Parametreleri'!$F$11:$F$24,MATCH(F415,'Sac Parametreleri'!$A$11:$A$24,0))</f>
        <v>12.845454545454546</v>
      </c>
      <c r="R415" s="182">
        <f t="shared" si="30"/>
        <v>0.16356576784922394</v>
      </c>
      <c r="S415" s="182">
        <f t="shared" si="31"/>
        <v>0.32713153569844788</v>
      </c>
      <c r="T415" s="139">
        <f>K415*F415*'Sac Parametreleri'!$B$6*G415</f>
        <v>0.36196349999999999</v>
      </c>
      <c r="U415" s="139">
        <f>N415*F415*'Sac Parametreleri'!$B$6*G415</f>
        <v>7.9455402439024367E-2</v>
      </c>
      <c r="V415" s="139">
        <f>M415*F415*'Sac Parametreleri'!$B$6*G415</f>
        <v>0.44141890243902432</v>
      </c>
      <c r="W415" s="135" t="s">
        <v>1520</v>
      </c>
    </row>
    <row r="416" spans="1:23" ht="15" customHeight="1" x14ac:dyDescent="0.25">
      <c r="A416" s="135" t="s">
        <v>549</v>
      </c>
      <c r="B416" s="135">
        <v>1</v>
      </c>
      <c r="C416" s="135" t="s">
        <v>819</v>
      </c>
      <c r="D416" s="135" t="s">
        <v>749</v>
      </c>
      <c r="E416" s="135" t="s">
        <v>1552</v>
      </c>
      <c r="F416" s="135">
        <v>5</v>
      </c>
      <c r="G416" s="135">
        <v>1</v>
      </c>
      <c r="H416" s="135" t="s">
        <v>1765</v>
      </c>
      <c r="I416" s="178"/>
      <c r="J416" s="178"/>
      <c r="K416" s="179">
        <v>6.0739000000000001E-2</v>
      </c>
      <c r="L416" s="179">
        <v>0</v>
      </c>
      <c r="M416" s="180">
        <f>K416/(1-'Sac Parametreleri'!$B$29)</f>
        <v>7.6982256020278833E-2</v>
      </c>
      <c r="N416" s="180">
        <f t="shared" si="28"/>
        <v>1.6243256020278832E-2</v>
      </c>
      <c r="O416" s="138">
        <f t="shared" si="29"/>
        <v>0.21099999999999997</v>
      </c>
      <c r="P416" s="181">
        <f>IF(E416="Hardox 450",INDEX('Sac Parametreleri'!$G$11:$G$24,MATCH(F416,'Sac Parametreleri'!$A$11:$A$24,0)),INDEX('Sac Parametreleri'!$E$11:$E$24,MATCH(F416,'Sac Parametreleri'!$A$11:$A$24,0)))</f>
        <v>31.400000000000002</v>
      </c>
      <c r="Q416" s="181">
        <f>INDEX('Sac Parametreleri'!$F$11:$F$24,MATCH(F416,'Sac Parametreleri'!$A$11:$A$24,0))</f>
        <v>12.845454545454546</v>
      </c>
      <c r="R416" s="182">
        <f t="shared" si="30"/>
        <v>2.2085908321580829</v>
      </c>
      <c r="S416" s="182">
        <f t="shared" si="31"/>
        <v>2.2085908321580829</v>
      </c>
      <c r="T416" s="139">
        <f>K416*F416*'Sac Parametreleri'!$B$6*G416</f>
        <v>2.38400575</v>
      </c>
      <c r="U416" s="139">
        <f>N416*F416*'Sac Parametreleri'!$B$6*G416</f>
        <v>0.63754779879594414</v>
      </c>
      <c r="V416" s="139">
        <f>M416*F416*'Sac Parametreleri'!$B$6*G416</f>
        <v>3.0215535487959442</v>
      </c>
      <c r="W416" s="135" t="s">
        <v>1520</v>
      </c>
    </row>
    <row r="417" spans="1:24" ht="15" customHeight="1" x14ac:dyDescent="0.25">
      <c r="A417" s="135" t="s">
        <v>549</v>
      </c>
      <c r="B417" s="135">
        <v>2</v>
      </c>
      <c r="C417" s="135" t="s">
        <v>820</v>
      </c>
      <c r="D417" s="135" t="s">
        <v>749</v>
      </c>
      <c r="E417" s="135" t="s">
        <v>1552</v>
      </c>
      <c r="F417" s="135">
        <v>5</v>
      </c>
      <c r="G417" s="135">
        <v>2</v>
      </c>
      <c r="H417" s="135" t="s">
        <v>1746</v>
      </c>
      <c r="I417" s="178"/>
      <c r="J417" s="178"/>
      <c r="K417" s="179">
        <v>4.6109999999999996E-3</v>
      </c>
      <c r="L417" s="179">
        <v>0</v>
      </c>
      <c r="M417" s="180">
        <f>K417/(1-'Sac Parametreleri'!$B$29)</f>
        <v>5.8441064638783263E-3</v>
      </c>
      <c r="N417" s="180">
        <f t="shared" si="28"/>
        <v>1.2331064638783267E-3</v>
      </c>
      <c r="O417" s="138">
        <f t="shared" si="29"/>
        <v>0.21099999999999997</v>
      </c>
      <c r="P417" s="181">
        <f>IF(E417="Hardox 450",INDEX('Sac Parametreleri'!$G$11:$G$24,MATCH(F417,'Sac Parametreleri'!$A$11:$A$24,0)),INDEX('Sac Parametreleri'!$E$11:$E$24,MATCH(F417,'Sac Parametreleri'!$A$11:$A$24,0)))</f>
        <v>31.400000000000002</v>
      </c>
      <c r="Q417" s="181">
        <f>INDEX('Sac Parametreleri'!$F$11:$F$24,MATCH(F417,'Sac Parametreleri'!$A$11:$A$24,0))</f>
        <v>12.845454545454546</v>
      </c>
      <c r="R417" s="182">
        <f t="shared" si="30"/>
        <v>0.16766512993432423</v>
      </c>
      <c r="S417" s="182">
        <f t="shared" si="31"/>
        <v>0.33533025986864845</v>
      </c>
      <c r="T417" s="139">
        <f>K417*F417*'Sac Parametreleri'!$B$6*G417</f>
        <v>0.36196349999999999</v>
      </c>
      <c r="U417" s="139">
        <f>N417*F417*'Sac Parametreleri'!$B$6*G417</f>
        <v>9.6798857414448644E-2</v>
      </c>
      <c r="V417" s="139">
        <f>M417*F417*'Sac Parametreleri'!$B$6*G417</f>
        <v>0.4587623574144486</v>
      </c>
      <c r="W417" s="135" t="s">
        <v>1520</v>
      </c>
    </row>
    <row r="418" spans="1:24" ht="15" customHeight="1" x14ac:dyDescent="0.25">
      <c r="A418" s="135" t="s">
        <v>617</v>
      </c>
      <c r="B418" s="135">
        <v>1</v>
      </c>
      <c r="C418" s="135" t="s">
        <v>1915</v>
      </c>
      <c r="D418" s="135" t="s">
        <v>1916</v>
      </c>
      <c r="E418" s="135" t="s">
        <v>1552</v>
      </c>
      <c r="F418" s="135">
        <v>5</v>
      </c>
      <c r="G418" s="135">
        <v>1</v>
      </c>
      <c r="H418" s="135" t="s">
        <v>1742</v>
      </c>
      <c r="I418" s="178"/>
      <c r="J418" s="178"/>
      <c r="K418" s="179">
        <v>6.7948999999999996E-2</v>
      </c>
      <c r="L418" s="179">
        <v>0</v>
      </c>
      <c r="M418" s="180">
        <f>K418/(1-'Sac Parametreleri'!$B$27)</f>
        <v>8.2864634146341445E-2</v>
      </c>
      <c r="N418" s="180">
        <f t="shared" si="28"/>
        <v>1.491563414634145E-2</v>
      </c>
      <c r="O418" s="138">
        <f t="shared" si="29"/>
        <v>0.17999999999999988</v>
      </c>
      <c r="P418" s="181">
        <f>IF(E418="Hardox 450",INDEX('Sac Parametreleri'!$G$11:$G$24,MATCH(F418,'Sac Parametreleri'!$A$11:$A$24,0)),INDEX('Sac Parametreleri'!$E$11:$E$24,MATCH(F418,'Sac Parametreleri'!$A$11:$A$24,0)))</f>
        <v>31.400000000000002</v>
      </c>
      <c r="Q418" s="181">
        <f>INDEX('Sac Parametreleri'!$F$11:$F$24,MATCH(F418,'Sac Parametreleri'!$A$11:$A$24,0))</f>
        <v>12.845454545454546</v>
      </c>
      <c r="R418" s="182">
        <f t="shared" si="30"/>
        <v>2.4103514117516629</v>
      </c>
      <c r="S418" s="182">
        <f t="shared" si="31"/>
        <v>2.4103514117516629</v>
      </c>
      <c r="T418" s="139">
        <f>K418*F418*'Sac Parametreleri'!$B$6*G418</f>
        <v>2.6669982499999998</v>
      </c>
      <c r="U418" s="139">
        <f>N418*F418*'Sac Parametreleri'!$B$6*G418</f>
        <v>0.58543864024390191</v>
      </c>
      <c r="V418" s="139">
        <f>M418*F418*'Sac Parametreleri'!$B$6*G418</f>
        <v>3.2524368902439016</v>
      </c>
      <c r="W418" s="135" t="s">
        <v>1520</v>
      </c>
    </row>
    <row r="419" spans="1:24" ht="15" customHeight="1" x14ac:dyDescent="0.25">
      <c r="A419" s="135" t="s">
        <v>617</v>
      </c>
      <c r="B419" s="135">
        <v>2</v>
      </c>
      <c r="C419" s="135" t="s">
        <v>1917</v>
      </c>
      <c r="D419" s="135" t="s">
        <v>1918</v>
      </c>
      <c r="E419" s="135" t="s">
        <v>1552</v>
      </c>
      <c r="F419" s="135">
        <v>1</v>
      </c>
      <c r="G419" s="135">
        <v>3</v>
      </c>
      <c r="H419" s="135" t="s">
        <v>1742</v>
      </c>
      <c r="I419" s="178"/>
      <c r="J419" s="178"/>
      <c r="K419" s="179">
        <v>4.2040000000000003E-3</v>
      </c>
      <c r="L419" s="179">
        <v>0</v>
      </c>
      <c r="M419" s="180">
        <f>K419/(1-'Sac Parametreleri'!$B$27)</f>
        <v>5.1268292682926826E-3</v>
      </c>
      <c r="N419" s="180">
        <f t="shared" si="28"/>
        <v>9.2282926829268235E-4</v>
      </c>
      <c r="O419" s="138">
        <f t="shared" si="29"/>
        <v>0.17999999999999991</v>
      </c>
      <c r="P419" s="181">
        <f>IF(E419="Hardox 450",INDEX('Sac Parametreleri'!$G$11:$G$24,MATCH(F419,'Sac Parametreleri'!$A$11:$A$24,0)),INDEX('Sac Parametreleri'!$E$11:$E$24,MATCH(F419,'Sac Parametreleri'!$A$11:$A$24,0)))</f>
        <v>6.28</v>
      </c>
      <c r="Q419" s="181">
        <f>INDEX('Sac Parametreleri'!$F$11:$F$24,MATCH(F419,'Sac Parametreleri'!$A$11:$A$24,0))</f>
        <v>2.5690909090909089</v>
      </c>
      <c r="R419" s="182">
        <f t="shared" si="30"/>
        <v>2.9825655521064302E-2</v>
      </c>
      <c r="S419" s="182">
        <f t="shared" si="31"/>
        <v>8.94769665631929E-2</v>
      </c>
      <c r="T419" s="139">
        <f>K419*F419*'Sac Parametreleri'!$B$6*G419</f>
        <v>9.9004200000000001E-2</v>
      </c>
      <c r="U419" s="139">
        <f>N419*F419*'Sac Parametreleri'!$B$6*G419</f>
        <v>2.1732629268292669E-2</v>
      </c>
      <c r="V419" s="139">
        <f>M419*F419*'Sac Parametreleri'!$B$6*G419</f>
        <v>0.12073682926829266</v>
      </c>
      <c r="W419" s="135" t="s">
        <v>1520</v>
      </c>
    </row>
    <row r="420" spans="1:24" ht="15" customHeight="1" x14ac:dyDescent="0.25">
      <c r="A420" s="135" t="s">
        <v>573</v>
      </c>
      <c r="B420" s="135">
        <v>1</v>
      </c>
      <c r="C420" s="135" t="s">
        <v>852</v>
      </c>
      <c r="D420" s="135" t="s">
        <v>853</v>
      </c>
      <c r="E420" s="135" t="s">
        <v>1552</v>
      </c>
      <c r="F420" s="135">
        <v>10</v>
      </c>
      <c r="G420" s="135">
        <v>1</v>
      </c>
      <c r="H420" s="135" t="s">
        <v>1765</v>
      </c>
      <c r="I420" s="178"/>
      <c r="J420" s="178"/>
      <c r="K420" s="179">
        <v>3.0075999999999999E-2</v>
      </c>
      <c r="L420" s="179">
        <v>0</v>
      </c>
      <c r="M420" s="180">
        <f>K420/(1-'Sac Parametreleri'!$B$29)</f>
        <v>3.8119138149556399E-2</v>
      </c>
      <c r="N420" s="180">
        <f t="shared" si="28"/>
        <v>8.0431381495564003E-3</v>
      </c>
      <c r="O420" s="138">
        <f t="shared" si="29"/>
        <v>0.21099999999999999</v>
      </c>
      <c r="P420" s="181">
        <f>IF(E420="Hardox 450",INDEX('Sac Parametreleri'!$G$11:$G$24,MATCH(F420,'Sac Parametreleri'!$A$11:$A$24,0)),INDEX('Sac Parametreleri'!$E$11:$E$24,MATCH(F420,'Sac Parametreleri'!$A$11:$A$24,0)))</f>
        <v>62.800000000000004</v>
      </c>
      <c r="Q420" s="181">
        <f>INDEX('Sac Parametreleri'!$F$11:$F$24,MATCH(F420,'Sac Parametreleri'!$A$11:$A$24,0))</f>
        <v>25.690909090909091</v>
      </c>
      <c r="R420" s="182">
        <f t="shared" si="30"/>
        <v>2.1872463447862658</v>
      </c>
      <c r="S420" s="182">
        <f t="shared" si="31"/>
        <v>2.1872463447862658</v>
      </c>
      <c r="T420" s="139">
        <f>K420*F420*'Sac Parametreleri'!$B$6*G420</f>
        <v>2.3609659999999995</v>
      </c>
      <c r="U420" s="139">
        <f>N420*F420*'Sac Parametreleri'!$B$6*G420</f>
        <v>0.63138634474017741</v>
      </c>
      <c r="V420" s="139">
        <f>M420*F420*'Sac Parametreleri'!$B$6*G420</f>
        <v>2.9923523447401772</v>
      </c>
      <c r="W420" s="135" t="s">
        <v>1520</v>
      </c>
    </row>
    <row r="421" spans="1:24" ht="15" customHeight="1" x14ac:dyDescent="0.25">
      <c r="A421" s="135" t="s">
        <v>573</v>
      </c>
      <c r="B421" s="135">
        <v>2</v>
      </c>
      <c r="C421" s="135" t="s">
        <v>1919</v>
      </c>
      <c r="D421" s="135" t="s">
        <v>1920</v>
      </c>
      <c r="E421" s="135" t="s">
        <v>1552</v>
      </c>
      <c r="F421" s="135">
        <v>5</v>
      </c>
      <c r="G421" s="135">
        <v>1</v>
      </c>
      <c r="H421" s="135" t="s">
        <v>1742</v>
      </c>
      <c r="I421" s="178"/>
      <c r="J421" s="178"/>
      <c r="K421" s="179">
        <v>9.9620000000000004E-3</v>
      </c>
      <c r="L421" s="179">
        <v>0</v>
      </c>
      <c r="M421" s="180">
        <f>K421/(1-'Sac Parametreleri'!$B$27)</f>
        <v>1.2148780487804878E-2</v>
      </c>
      <c r="N421" s="180">
        <f t="shared" si="28"/>
        <v>2.1867804878048774E-3</v>
      </c>
      <c r="O421" s="138">
        <f t="shared" si="29"/>
        <v>0.17999999999999994</v>
      </c>
      <c r="P421" s="181">
        <f>IF(E421="Hardox 450",INDEX('Sac Parametreleri'!$G$11:$G$24,MATCH(F421,'Sac Parametreleri'!$A$11:$A$24,0)),INDEX('Sac Parametreleri'!$E$11:$E$24,MATCH(F421,'Sac Parametreleri'!$A$11:$A$24,0)))</f>
        <v>31.400000000000002</v>
      </c>
      <c r="Q421" s="181">
        <f>INDEX('Sac Parametreleri'!$F$11:$F$24,MATCH(F421,'Sac Parametreleri'!$A$11:$A$24,0))</f>
        <v>12.845454545454546</v>
      </c>
      <c r="R421" s="182">
        <f t="shared" si="30"/>
        <v>0.35338151796008871</v>
      </c>
      <c r="S421" s="182">
        <f t="shared" si="31"/>
        <v>0.35338151796008871</v>
      </c>
      <c r="T421" s="139">
        <f>K421*F421*'Sac Parametreleri'!$B$6*G421</f>
        <v>0.39100849999999998</v>
      </c>
      <c r="U421" s="139">
        <f>N421*F421*'Sac Parametreleri'!$B$6*G421</f>
        <v>8.5831134146341428E-2</v>
      </c>
      <c r="V421" s="139">
        <f>M421*F421*'Sac Parametreleri'!$B$6*G421</f>
        <v>0.47683963414634145</v>
      </c>
      <c r="W421" s="135" t="s">
        <v>1520</v>
      </c>
    </row>
    <row r="422" spans="1:24" ht="15" customHeight="1" x14ac:dyDescent="0.25">
      <c r="A422" s="135" t="s">
        <v>574</v>
      </c>
      <c r="B422" s="135">
        <v>1</v>
      </c>
      <c r="C422" s="135" t="s">
        <v>856</v>
      </c>
      <c r="D422" s="135" t="s">
        <v>857</v>
      </c>
      <c r="E422" s="135" t="s">
        <v>1552</v>
      </c>
      <c r="F422" s="135">
        <v>10</v>
      </c>
      <c r="G422" s="135">
        <v>1</v>
      </c>
      <c r="H422" s="135" t="s">
        <v>1765</v>
      </c>
      <c r="I422" s="178"/>
      <c r="J422" s="178"/>
      <c r="K422" s="179">
        <v>3.0075999999999999E-2</v>
      </c>
      <c r="L422" s="179">
        <v>0</v>
      </c>
      <c r="M422" s="180">
        <f>K422/(1-'Sac Parametreleri'!$B$29)</f>
        <v>3.8119138149556399E-2</v>
      </c>
      <c r="N422" s="180">
        <f t="shared" si="28"/>
        <v>8.0431381495564003E-3</v>
      </c>
      <c r="O422" s="138">
        <f t="shared" si="29"/>
        <v>0.21099999999999999</v>
      </c>
      <c r="P422" s="181">
        <f>IF(E422="Hardox 450",INDEX('Sac Parametreleri'!$G$11:$G$24,MATCH(F422,'Sac Parametreleri'!$A$11:$A$24,0)),INDEX('Sac Parametreleri'!$E$11:$E$24,MATCH(F422,'Sac Parametreleri'!$A$11:$A$24,0)))</f>
        <v>62.800000000000004</v>
      </c>
      <c r="Q422" s="181">
        <f>INDEX('Sac Parametreleri'!$F$11:$F$24,MATCH(F422,'Sac Parametreleri'!$A$11:$A$24,0))</f>
        <v>25.690909090909091</v>
      </c>
      <c r="R422" s="182">
        <f t="shared" si="30"/>
        <v>2.1872463447862658</v>
      </c>
      <c r="S422" s="182">
        <f t="shared" si="31"/>
        <v>2.1872463447862658</v>
      </c>
      <c r="T422" s="139">
        <f>K422*F422*'Sac Parametreleri'!$B$6*G422</f>
        <v>2.3609659999999995</v>
      </c>
      <c r="U422" s="139">
        <f>N422*F422*'Sac Parametreleri'!$B$6*G422</f>
        <v>0.63138634474017741</v>
      </c>
      <c r="V422" s="139">
        <f>M422*F422*'Sac Parametreleri'!$B$6*G422</f>
        <v>2.9923523447401772</v>
      </c>
      <c r="W422" s="135" t="s">
        <v>1520</v>
      </c>
    </row>
    <row r="423" spans="1:24" ht="15" customHeight="1" x14ac:dyDescent="0.25">
      <c r="A423" s="135" t="s">
        <v>574</v>
      </c>
      <c r="B423" s="135">
        <v>2</v>
      </c>
      <c r="C423" s="135" t="s">
        <v>1919</v>
      </c>
      <c r="D423" s="135" t="s">
        <v>1920</v>
      </c>
      <c r="E423" s="135" t="s">
        <v>1552</v>
      </c>
      <c r="F423" s="135">
        <v>5</v>
      </c>
      <c r="G423" s="135">
        <v>1</v>
      </c>
      <c r="H423" s="135" t="s">
        <v>1742</v>
      </c>
      <c r="I423" s="178"/>
      <c r="J423" s="178"/>
      <c r="K423" s="179">
        <v>9.9620000000000004E-3</v>
      </c>
      <c r="L423" s="179">
        <v>0</v>
      </c>
      <c r="M423" s="180">
        <f>K423/(1-'Sac Parametreleri'!$B$27)</f>
        <v>1.2148780487804878E-2</v>
      </c>
      <c r="N423" s="180">
        <f t="shared" si="28"/>
        <v>2.1867804878048774E-3</v>
      </c>
      <c r="O423" s="138">
        <f t="shared" si="29"/>
        <v>0.17999999999999994</v>
      </c>
      <c r="P423" s="181">
        <f>IF(E423="Hardox 450",INDEX('Sac Parametreleri'!$G$11:$G$24,MATCH(F423,'Sac Parametreleri'!$A$11:$A$24,0)),INDEX('Sac Parametreleri'!$E$11:$E$24,MATCH(F423,'Sac Parametreleri'!$A$11:$A$24,0)))</f>
        <v>31.400000000000002</v>
      </c>
      <c r="Q423" s="181">
        <f>INDEX('Sac Parametreleri'!$F$11:$F$24,MATCH(F423,'Sac Parametreleri'!$A$11:$A$24,0))</f>
        <v>12.845454545454546</v>
      </c>
      <c r="R423" s="182">
        <f t="shared" si="30"/>
        <v>0.35338151796008871</v>
      </c>
      <c r="S423" s="182">
        <f t="shared" si="31"/>
        <v>0.35338151796008871</v>
      </c>
      <c r="T423" s="139">
        <f>K423*F423*'Sac Parametreleri'!$B$6*G423</f>
        <v>0.39100849999999998</v>
      </c>
      <c r="U423" s="139">
        <f>N423*F423*'Sac Parametreleri'!$B$6*G423</f>
        <v>8.5831134146341428E-2</v>
      </c>
      <c r="V423" s="139">
        <f>M423*F423*'Sac Parametreleri'!$B$6*G423</f>
        <v>0.47683963414634145</v>
      </c>
      <c r="W423" s="135" t="s">
        <v>1520</v>
      </c>
    </row>
    <row r="424" spans="1:24" ht="21.75" customHeight="1" x14ac:dyDescent="0.25">
      <c r="A424" s="135" t="s">
        <v>464</v>
      </c>
      <c r="B424" s="135">
        <v>1</v>
      </c>
      <c r="C424" s="135" t="s">
        <v>1602</v>
      </c>
      <c r="D424" s="135" t="s">
        <v>774</v>
      </c>
      <c r="E424" s="135" t="s">
        <v>1552</v>
      </c>
      <c r="F424" s="135">
        <v>8</v>
      </c>
      <c r="G424" s="135">
        <v>1</v>
      </c>
      <c r="H424" s="135" t="s">
        <v>1739</v>
      </c>
      <c r="I424" s="178">
        <v>210</v>
      </c>
      <c r="J424" s="178">
        <v>90</v>
      </c>
      <c r="K424" s="179">
        <v>1.7912999999999998E-2</v>
      </c>
      <c r="L424" s="179">
        <v>8.8699999999999998E-4</v>
      </c>
      <c r="M424" s="180">
        <f>I424*J424/1000000</f>
        <v>1.89E-2</v>
      </c>
      <c r="N424" s="180">
        <f t="shared" si="28"/>
        <v>9.8700000000000176E-4</v>
      </c>
      <c r="O424" s="138">
        <f t="shared" si="29"/>
        <v>5.2222222222222316E-2</v>
      </c>
      <c r="P424" s="181">
        <f>IF(E424="Hardox 450",INDEX('Sac Parametreleri'!$G$11:$G$24,MATCH(F424,'Sac Parametreleri'!$A$11:$A$24,0)),INDEX('Sac Parametreleri'!$E$11:$E$24,MATCH(F424,'Sac Parametreleri'!$A$11:$A$24,0)))</f>
        <v>50.24</v>
      </c>
      <c r="Q424" s="181">
        <f>INDEX('Sac Parametreleri'!$F$11:$F$24,MATCH(F424,'Sac Parametreleri'!$A$11:$A$24,0))</f>
        <v>20.552727272727271</v>
      </c>
      <c r="R424" s="182">
        <f t="shared" si="30"/>
        <v>0.92925045818181817</v>
      </c>
      <c r="S424" s="182">
        <f t="shared" si="31"/>
        <v>0.92925045818181817</v>
      </c>
      <c r="T424" s="139">
        <f>K424*F424*'Sac Parametreleri'!$B$6*G424</f>
        <v>1.1249363999999999</v>
      </c>
      <c r="U424" s="139">
        <f>N424*F424*'Sac Parametreleri'!$B$6*G424</f>
        <v>6.1983600000000111E-2</v>
      </c>
      <c r="V424" s="139">
        <f>M424*F424*'Sac Parametreleri'!$B$6*G424</f>
        <v>1.18692</v>
      </c>
      <c r="W424" s="135" t="s">
        <v>1520</v>
      </c>
      <c r="X424" s="183" t="s">
        <v>1921</v>
      </c>
    </row>
    <row r="425" spans="1:24" ht="15" customHeight="1" x14ac:dyDescent="0.25">
      <c r="A425" s="135" t="s">
        <v>464</v>
      </c>
      <c r="B425" s="135">
        <v>2</v>
      </c>
      <c r="C425" s="135" t="s">
        <v>742</v>
      </c>
      <c r="D425" s="135" t="s">
        <v>743</v>
      </c>
      <c r="E425" s="135" t="s">
        <v>1552</v>
      </c>
      <c r="F425" s="135">
        <v>8</v>
      </c>
      <c r="G425" s="135">
        <v>1</v>
      </c>
      <c r="H425" s="135" t="s">
        <v>1746</v>
      </c>
      <c r="I425" s="178"/>
      <c r="J425" s="178"/>
      <c r="K425" s="179">
        <v>2.5684999999999999E-2</v>
      </c>
      <c r="L425" s="179">
        <v>0</v>
      </c>
      <c r="M425" s="180">
        <f>K425/(1-'Sac Parametreleri'!$B$29)</f>
        <v>3.2553865652724966E-2</v>
      </c>
      <c r="N425" s="180">
        <f t="shared" si="28"/>
        <v>6.8688656527249661E-3</v>
      </c>
      <c r="O425" s="138">
        <f t="shared" si="29"/>
        <v>0.21099999999999994</v>
      </c>
      <c r="P425" s="181">
        <f>IF(E425="Hardox 450",INDEX('Sac Parametreleri'!$G$11:$G$24,MATCH(F425,'Sac Parametreleri'!$A$11:$A$24,0)),INDEX('Sac Parametreleri'!$E$11:$E$24,MATCH(F425,'Sac Parametreleri'!$A$11:$A$24,0)))</f>
        <v>50.24</v>
      </c>
      <c r="Q425" s="181">
        <f>INDEX('Sac Parametreleri'!$F$11:$F$24,MATCH(F425,'Sac Parametreleri'!$A$11:$A$24,0))</f>
        <v>20.552727272727271</v>
      </c>
      <c r="R425" s="182">
        <f t="shared" si="30"/>
        <v>1.4943322879594423</v>
      </c>
      <c r="S425" s="182">
        <f t="shared" si="31"/>
        <v>1.4943322879594423</v>
      </c>
      <c r="T425" s="139">
        <f>K425*F425*'Sac Parametreleri'!$B$6*G425</f>
        <v>1.6130179999999998</v>
      </c>
      <c r="U425" s="139">
        <f>N425*F425*'Sac Parametreleri'!$B$6*G425</f>
        <v>0.43136476299112786</v>
      </c>
      <c r="V425" s="139">
        <f>M425*F425*'Sac Parametreleri'!$B$6*G425</f>
        <v>2.0443827629911278</v>
      </c>
      <c r="W425" s="135" t="s">
        <v>1520</v>
      </c>
    </row>
    <row r="426" spans="1:24" ht="15" customHeight="1" x14ac:dyDescent="0.25">
      <c r="A426" s="135" t="s">
        <v>480</v>
      </c>
      <c r="B426" s="135">
        <v>1</v>
      </c>
      <c r="C426" s="135" t="s">
        <v>980</v>
      </c>
      <c r="D426" s="135" t="s">
        <v>981</v>
      </c>
      <c r="E426" s="135" t="s">
        <v>1552</v>
      </c>
      <c r="F426" s="135">
        <v>6</v>
      </c>
      <c r="G426" s="135">
        <v>1</v>
      </c>
      <c r="H426" s="135" t="s">
        <v>1922</v>
      </c>
      <c r="I426" s="178"/>
      <c r="J426" s="178"/>
      <c r="K426" s="179">
        <v>3.1805E-2</v>
      </c>
      <c r="L426" s="179">
        <v>0</v>
      </c>
      <c r="M426" s="180">
        <f>K426/(1-'Sac Parametreleri'!$B$29)</f>
        <v>4.0310519645120405E-2</v>
      </c>
      <c r="N426" s="180">
        <f t="shared" si="28"/>
        <v>8.5055196451204046E-3</v>
      </c>
      <c r="O426" s="138">
        <f t="shared" si="29"/>
        <v>0.21099999999999999</v>
      </c>
      <c r="P426" s="181">
        <f>IF(E426="Hardox 450",INDEX('Sac Parametreleri'!$G$11:$G$24,MATCH(F426,'Sac Parametreleri'!$A$11:$A$24,0)),INDEX('Sac Parametreleri'!$E$11:$E$24,MATCH(F426,'Sac Parametreleri'!$A$11:$A$24,0)))</f>
        <v>37.68</v>
      </c>
      <c r="Q426" s="181">
        <f>INDEX('Sac Parametreleri'!$F$11:$F$24,MATCH(F426,'Sac Parametreleri'!$A$11:$A$24,0))</f>
        <v>15.414545454545452</v>
      </c>
      <c r="R426" s="182">
        <f t="shared" si="30"/>
        <v>1.3877916610438992</v>
      </c>
      <c r="S426" s="182">
        <f t="shared" si="31"/>
        <v>1.3877916610438992</v>
      </c>
      <c r="T426" s="139">
        <f>K426*F426*'Sac Parametreleri'!$B$6*G426</f>
        <v>1.4980154999999999</v>
      </c>
      <c r="U426" s="139">
        <f>N426*F426*'Sac Parametreleri'!$B$6*G426</f>
        <v>0.40060997528517106</v>
      </c>
      <c r="V426" s="139">
        <f>M426*F426*'Sac Parametreleri'!$B$6*G426</f>
        <v>1.898625475285171</v>
      </c>
      <c r="W426" s="135" t="s">
        <v>1520</v>
      </c>
    </row>
    <row r="427" spans="1:24" ht="15" customHeight="1" x14ac:dyDescent="0.25">
      <c r="A427" s="135" t="s">
        <v>480</v>
      </c>
      <c r="B427" s="135">
        <v>2</v>
      </c>
      <c r="C427" s="135" t="s">
        <v>1923</v>
      </c>
      <c r="D427" s="135" t="s">
        <v>774</v>
      </c>
      <c r="E427" s="135" t="s">
        <v>1552</v>
      </c>
      <c r="F427" s="135">
        <v>3</v>
      </c>
      <c r="G427" s="135">
        <v>1</v>
      </c>
      <c r="H427" s="135" t="s">
        <v>1742</v>
      </c>
      <c r="I427" s="178"/>
      <c r="J427" s="178"/>
      <c r="K427" s="179">
        <v>5.0658000000000002E-2</v>
      </c>
      <c r="L427" s="179">
        <v>0</v>
      </c>
      <c r="M427" s="180">
        <f>K427/(1-'Sac Parametreleri'!$B$27)</f>
        <v>6.1778048780487801E-2</v>
      </c>
      <c r="N427" s="180">
        <f t="shared" si="28"/>
        <v>1.11200487804878E-2</v>
      </c>
      <c r="O427" s="138">
        <f t="shared" si="29"/>
        <v>0.17999999999999994</v>
      </c>
      <c r="P427" s="181">
        <f>IF(E427="Hardox 450",INDEX('Sac Parametreleri'!$G$11:$G$24,MATCH(F427,'Sac Parametreleri'!$A$11:$A$24,0)),INDEX('Sac Parametreleri'!$E$11:$E$24,MATCH(F427,'Sac Parametreleri'!$A$11:$A$24,0)))</f>
        <v>18.84</v>
      </c>
      <c r="Q427" s="181">
        <f>INDEX('Sac Parametreleri'!$F$11:$F$24,MATCH(F427,'Sac Parametreleri'!$A$11:$A$24,0))</f>
        <v>7.7072727272727262</v>
      </c>
      <c r="R427" s="182">
        <f t="shared" si="30"/>
        <v>1.0781931903325943</v>
      </c>
      <c r="S427" s="182">
        <f t="shared" si="31"/>
        <v>1.0781931903325943</v>
      </c>
      <c r="T427" s="139">
        <f>K427*F427*'Sac Parametreleri'!$B$6*G427</f>
        <v>1.1929958999999999</v>
      </c>
      <c r="U427" s="139">
        <f>N427*F427*'Sac Parametreleri'!$B$6*G427</f>
        <v>0.26187714878048768</v>
      </c>
      <c r="V427" s="139">
        <f>M427*F427*'Sac Parametreleri'!$B$6*G427</f>
        <v>1.4548730487804875</v>
      </c>
      <c r="W427" s="135" t="s">
        <v>1520</v>
      </c>
    </row>
    <row r="428" spans="1:24" ht="15" customHeight="1" x14ac:dyDescent="0.25">
      <c r="A428" s="135" t="s">
        <v>566</v>
      </c>
      <c r="B428" s="135">
        <v>1</v>
      </c>
      <c r="C428" s="135" t="s">
        <v>753</v>
      </c>
      <c r="D428" s="135" t="s">
        <v>751</v>
      </c>
      <c r="E428" s="135" t="s">
        <v>1552</v>
      </c>
      <c r="F428" s="135">
        <v>8</v>
      </c>
      <c r="G428" s="135">
        <v>1</v>
      </c>
      <c r="H428" s="135" t="s">
        <v>1746</v>
      </c>
      <c r="I428" s="178"/>
      <c r="J428" s="178"/>
      <c r="K428" s="179">
        <v>3.6368999999999999E-2</v>
      </c>
      <c r="L428" s="179">
        <v>0</v>
      </c>
      <c r="M428" s="180">
        <f>K428/(1-'Sac Parametreleri'!$B$29)</f>
        <v>4.6095057034220531E-2</v>
      </c>
      <c r="N428" s="180">
        <f t="shared" si="28"/>
        <v>9.7260570342205324E-3</v>
      </c>
      <c r="O428" s="138">
        <f t="shared" si="29"/>
        <v>0.21100000000000002</v>
      </c>
      <c r="P428" s="181">
        <f>IF(E428="Hardox 450",INDEX('Sac Parametreleri'!$G$11:$G$24,MATCH(F428,'Sac Parametreleri'!$A$11:$A$24,0)),INDEX('Sac Parametreleri'!$E$11:$E$24,MATCH(F428,'Sac Parametreleri'!$A$11:$A$24,0)))</f>
        <v>50.24</v>
      </c>
      <c r="Q428" s="181">
        <f>INDEX('Sac Parametreleri'!$F$11:$F$24,MATCH(F428,'Sac Parametreleri'!$A$11:$A$24,0))</f>
        <v>20.552727272727271</v>
      </c>
      <c r="R428" s="182">
        <f t="shared" si="30"/>
        <v>2.1159186677359143</v>
      </c>
      <c r="S428" s="182">
        <f t="shared" si="31"/>
        <v>2.1159186677359143</v>
      </c>
      <c r="T428" s="139">
        <f>K428*F428*'Sac Parametreleri'!$B$6*G428</f>
        <v>2.2839731999999997</v>
      </c>
      <c r="U428" s="139">
        <f>N428*F428*'Sac Parametreleri'!$B$6*G428</f>
        <v>0.61079638174904938</v>
      </c>
      <c r="V428" s="139">
        <f>M428*F428*'Sac Parametreleri'!$B$6*G428</f>
        <v>2.8947695817490491</v>
      </c>
      <c r="W428" s="135" t="s">
        <v>1520</v>
      </c>
    </row>
    <row r="429" spans="1:24" ht="15" customHeight="1" x14ac:dyDescent="0.25">
      <c r="A429" s="135" t="s">
        <v>566</v>
      </c>
      <c r="B429" s="135">
        <v>2</v>
      </c>
      <c r="C429" s="135" t="s">
        <v>1924</v>
      </c>
      <c r="D429" s="135" t="s">
        <v>751</v>
      </c>
      <c r="E429" s="135" t="s">
        <v>1552</v>
      </c>
      <c r="F429" s="135">
        <v>6</v>
      </c>
      <c r="G429" s="135">
        <v>1</v>
      </c>
      <c r="H429" s="135" t="s">
        <v>1742</v>
      </c>
      <c r="I429" s="178"/>
      <c r="J429" s="178"/>
      <c r="K429" s="179">
        <v>7.1130000000000004E-3</v>
      </c>
      <c r="L429" s="179">
        <v>0</v>
      </c>
      <c r="M429" s="180">
        <f>K429/(1-'Sac Parametreleri'!$B$27)</f>
        <v>8.6743902439024387E-3</v>
      </c>
      <c r="N429" s="180">
        <f t="shared" si="28"/>
        <v>1.5613902439024384E-3</v>
      </c>
      <c r="O429" s="138">
        <f t="shared" si="29"/>
        <v>0.17999999999999994</v>
      </c>
      <c r="P429" s="181">
        <f>IF(E429="Hardox 450",INDEX('Sac Parametreleri'!$G$11:$G$24,MATCH(F429,'Sac Parametreleri'!$A$11:$A$24,0)),INDEX('Sac Parametreleri'!$E$11:$E$24,MATCH(F429,'Sac Parametreleri'!$A$11:$A$24,0)))</f>
        <v>37.68</v>
      </c>
      <c r="Q429" s="181">
        <f>INDEX('Sac Parametreleri'!$F$11:$F$24,MATCH(F429,'Sac Parametreleri'!$A$11:$A$24,0))</f>
        <v>15.414545454545452</v>
      </c>
      <c r="R429" s="182">
        <f t="shared" si="30"/>
        <v>0.30278290350332593</v>
      </c>
      <c r="S429" s="182">
        <f t="shared" si="31"/>
        <v>0.30278290350332593</v>
      </c>
      <c r="T429" s="139">
        <f>K429*F429*'Sac Parametreleri'!$B$6*G429</f>
        <v>0.3350223</v>
      </c>
      <c r="U429" s="139">
        <f>N429*F429*'Sac Parametreleri'!$B$6*G429</f>
        <v>7.3541480487804844E-2</v>
      </c>
      <c r="V429" s="139">
        <f>M429*F429*'Sac Parametreleri'!$B$6*G429</f>
        <v>0.4085637804878049</v>
      </c>
      <c r="W429" s="135" t="s">
        <v>1520</v>
      </c>
    </row>
    <row r="430" spans="1:24" ht="15" customHeight="1" x14ac:dyDescent="0.25">
      <c r="A430" s="135" t="s">
        <v>576</v>
      </c>
      <c r="B430" s="135">
        <v>1</v>
      </c>
      <c r="C430" s="135" t="s">
        <v>1925</v>
      </c>
      <c r="D430" s="135" t="s">
        <v>1911</v>
      </c>
      <c r="E430" s="135" t="s">
        <v>1552</v>
      </c>
      <c r="F430" s="135">
        <v>4</v>
      </c>
      <c r="G430" s="135">
        <v>1</v>
      </c>
      <c r="H430" s="135" t="s">
        <v>1742</v>
      </c>
      <c r="I430" s="178"/>
      <c r="J430" s="178"/>
      <c r="K430" s="179">
        <v>2.1401E-2</v>
      </c>
      <c r="L430" s="179">
        <v>0</v>
      </c>
      <c r="M430" s="180">
        <f>K430/(1-'Sac Parametreleri'!$B$27)</f>
        <v>2.6098780487804875E-2</v>
      </c>
      <c r="N430" s="180">
        <f t="shared" si="28"/>
        <v>4.697780487804875E-3</v>
      </c>
      <c r="O430" s="138">
        <f t="shared" si="29"/>
        <v>0.17999999999999991</v>
      </c>
      <c r="P430" s="181">
        <f>IF(E430="Hardox 450",INDEX('Sac Parametreleri'!$G$11:$G$24,MATCH(F430,'Sac Parametreleri'!$A$11:$A$24,0)),INDEX('Sac Parametreleri'!$E$11:$E$24,MATCH(F430,'Sac Parametreleri'!$A$11:$A$24,0)))</f>
        <v>25.12</v>
      </c>
      <c r="Q430" s="181">
        <f>INDEX('Sac Parametreleri'!$F$11:$F$24,MATCH(F430,'Sac Parametreleri'!$A$11:$A$24,0))</f>
        <v>10.276363636363635</v>
      </c>
      <c r="R430" s="182">
        <f t="shared" si="30"/>
        <v>0.6073252652771618</v>
      </c>
      <c r="S430" s="182">
        <f t="shared" si="31"/>
        <v>0.6073252652771618</v>
      </c>
      <c r="T430" s="139">
        <f>K430*F430*'Sac Parametreleri'!$B$6*G430</f>
        <v>0.67199140000000002</v>
      </c>
      <c r="U430" s="139">
        <f>N430*F430*'Sac Parametreleri'!$B$6*G430</f>
        <v>0.14751030731707307</v>
      </c>
      <c r="V430" s="139">
        <f>M430*F430*'Sac Parametreleri'!$B$6*G430</f>
        <v>0.81950170731707306</v>
      </c>
      <c r="W430" s="135" t="s">
        <v>1520</v>
      </c>
    </row>
    <row r="431" spans="1:24" ht="15" customHeight="1" x14ac:dyDescent="0.25">
      <c r="A431" s="135" t="s">
        <v>465</v>
      </c>
      <c r="B431" s="135">
        <v>1</v>
      </c>
      <c r="C431" s="135" t="s">
        <v>985</v>
      </c>
      <c r="D431" s="135" t="s">
        <v>749</v>
      </c>
      <c r="E431" s="135" t="s">
        <v>1552</v>
      </c>
      <c r="F431" s="135">
        <v>4</v>
      </c>
      <c r="G431" s="135">
        <v>1</v>
      </c>
      <c r="H431" s="135" t="s">
        <v>1830</v>
      </c>
      <c r="I431" s="178"/>
      <c r="J431" s="178"/>
      <c r="K431" s="179">
        <v>5.3025000000000003E-2</v>
      </c>
      <c r="L431" s="179">
        <v>0</v>
      </c>
      <c r="M431" s="180">
        <f>K431/(1-'Sac Parametreleri'!$B$29)</f>
        <v>6.7205323193916353E-2</v>
      </c>
      <c r="N431" s="180">
        <f t="shared" si="28"/>
        <v>1.418032319391635E-2</v>
      </c>
      <c r="O431" s="138">
        <f t="shared" si="29"/>
        <v>0.21099999999999999</v>
      </c>
      <c r="P431" s="181">
        <f>IF(E431="Hardox 450",INDEX('Sac Parametreleri'!$G$11:$G$24,MATCH(F431,'Sac Parametreleri'!$A$11:$A$24,0)),INDEX('Sac Parametreleri'!$E$11:$E$24,MATCH(F431,'Sac Parametreleri'!$A$11:$A$24,0)))</f>
        <v>25.12</v>
      </c>
      <c r="Q431" s="181">
        <f>INDEX('Sac Parametreleri'!$F$11:$F$24,MATCH(F431,'Sac Parametreleri'!$A$11:$A$24,0))</f>
        <v>10.276363636363635</v>
      </c>
      <c r="R431" s="182">
        <f t="shared" si="30"/>
        <v>1.5424755610093328</v>
      </c>
      <c r="S431" s="182">
        <f t="shared" si="31"/>
        <v>1.5424755610093328</v>
      </c>
      <c r="T431" s="139">
        <f>K431*F431*'Sac Parametreleri'!$B$6*G431</f>
        <v>1.6649849999999999</v>
      </c>
      <c r="U431" s="139">
        <f>N431*F431*'Sac Parametreleri'!$B$6*G431</f>
        <v>0.44526214828897337</v>
      </c>
      <c r="V431" s="139">
        <f>M431*F431*'Sac Parametreleri'!$B$6*G431</f>
        <v>2.1102471482889733</v>
      </c>
      <c r="W431" s="135" t="s">
        <v>1520</v>
      </c>
    </row>
    <row r="432" spans="1:24" ht="15" customHeight="1" x14ac:dyDescent="0.25">
      <c r="A432" s="135" t="s">
        <v>465</v>
      </c>
      <c r="B432" s="135">
        <v>2</v>
      </c>
      <c r="C432" s="135" t="s">
        <v>1926</v>
      </c>
      <c r="D432" s="135" t="s">
        <v>749</v>
      </c>
      <c r="E432" s="135" t="s">
        <v>1552</v>
      </c>
      <c r="F432" s="135">
        <v>4</v>
      </c>
      <c r="G432" s="135">
        <v>1</v>
      </c>
      <c r="H432" s="135" t="s">
        <v>1742</v>
      </c>
      <c r="I432" s="178"/>
      <c r="J432" s="178"/>
      <c r="K432" s="179">
        <v>1.1338000000000001E-2</v>
      </c>
      <c r="L432" s="179">
        <v>0</v>
      </c>
      <c r="M432" s="180">
        <f>K432/(1-'Sac Parametreleri'!$B$27)</f>
        <v>1.3826829268292684E-2</v>
      </c>
      <c r="N432" s="180">
        <f t="shared" si="28"/>
        <v>2.4888292682926829E-3</v>
      </c>
      <c r="O432" s="138">
        <f t="shared" si="29"/>
        <v>0.18</v>
      </c>
      <c r="P432" s="181">
        <f>IF(E432="Hardox 450",INDEX('Sac Parametreleri'!$G$11:$G$24,MATCH(F432,'Sac Parametreleri'!$A$11:$A$24,0)),INDEX('Sac Parametreleri'!$E$11:$E$24,MATCH(F432,'Sac Parametreleri'!$A$11:$A$24,0)))</f>
        <v>25.12</v>
      </c>
      <c r="Q432" s="181">
        <f>INDEX('Sac Parametreleri'!$F$11:$F$24,MATCH(F432,'Sac Parametreleri'!$A$11:$A$24,0))</f>
        <v>10.276363636363635</v>
      </c>
      <c r="R432" s="182">
        <f t="shared" si="30"/>
        <v>0.3217538366297118</v>
      </c>
      <c r="S432" s="182">
        <f t="shared" si="31"/>
        <v>0.3217538366297118</v>
      </c>
      <c r="T432" s="139">
        <f>K432*F432*'Sac Parametreleri'!$B$6*G432</f>
        <v>0.35601320000000003</v>
      </c>
      <c r="U432" s="139">
        <f>N432*F432*'Sac Parametreleri'!$B$6*G432</f>
        <v>7.8149239024390235E-2</v>
      </c>
      <c r="V432" s="139">
        <f>M432*F432*'Sac Parametreleri'!$B$6*G432</f>
        <v>0.43416243902439022</v>
      </c>
      <c r="W432" s="135" t="s">
        <v>1520</v>
      </c>
    </row>
    <row r="433" spans="1:24" ht="15" customHeight="1" x14ac:dyDescent="0.25">
      <c r="A433" s="135" t="s">
        <v>465</v>
      </c>
      <c r="B433" s="135">
        <v>3</v>
      </c>
      <c r="C433" s="135" t="s">
        <v>986</v>
      </c>
      <c r="D433" s="135" t="s">
        <v>749</v>
      </c>
      <c r="E433" s="135" t="s">
        <v>1552</v>
      </c>
      <c r="F433" s="135">
        <v>4</v>
      </c>
      <c r="G433" s="135">
        <v>1</v>
      </c>
      <c r="H433" s="135" t="s">
        <v>1746</v>
      </c>
      <c r="I433" s="178"/>
      <c r="J433" s="178"/>
      <c r="K433" s="179">
        <v>1.6209999999999999E-2</v>
      </c>
      <c r="L433" s="179">
        <v>0</v>
      </c>
      <c r="M433" s="180">
        <f>K433/(1-'Sac Parametreleri'!$B$29)</f>
        <v>2.0544993662864382E-2</v>
      </c>
      <c r="N433" s="180">
        <f t="shared" si="28"/>
        <v>4.3349936628643837E-3</v>
      </c>
      <c r="O433" s="138">
        <f t="shared" si="29"/>
        <v>0.21099999999999997</v>
      </c>
      <c r="P433" s="181">
        <f>IF(E433="Hardox 450",INDEX('Sac Parametreleri'!$G$11:$G$24,MATCH(F433,'Sac Parametreleri'!$A$11:$A$24,0)),INDEX('Sac Parametreleri'!$E$11:$E$24,MATCH(F433,'Sac Parametreleri'!$A$11:$A$24,0)))</f>
        <v>25.12</v>
      </c>
      <c r="Q433" s="181">
        <f>INDEX('Sac Parametreleri'!$F$11:$F$24,MATCH(F433,'Sac Parametreleri'!$A$11:$A$24,0))</f>
        <v>10.276363636363635</v>
      </c>
      <c r="R433" s="182">
        <f t="shared" si="30"/>
        <v>0.47154226957022694</v>
      </c>
      <c r="S433" s="182">
        <f t="shared" si="31"/>
        <v>0.47154226957022694</v>
      </c>
      <c r="T433" s="139">
        <f>K433*F433*'Sac Parametreleri'!$B$6*G433</f>
        <v>0.50899399999999995</v>
      </c>
      <c r="U433" s="139">
        <f>N433*F433*'Sac Parametreleri'!$B$6*G433</f>
        <v>0.13611880101394164</v>
      </c>
      <c r="V433" s="139">
        <f>M433*F433*'Sac Parametreleri'!$B$6*G433</f>
        <v>0.64511280101394153</v>
      </c>
      <c r="W433" s="135" t="s">
        <v>1520</v>
      </c>
    </row>
    <row r="434" spans="1:24" ht="15" customHeight="1" x14ac:dyDescent="0.25">
      <c r="A434" s="135" t="s">
        <v>550</v>
      </c>
      <c r="B434" s="135">
        <v>1</v>
      </c>
      <c r="C434" s="135" t="s">
        <v>895</v>
      </c>
      <c r="D434" s="135" t="s">
        <v>896</v>
      </c>
      <c r="E434" s="135" t="s">
        <v>1552</v>
      </c>
      <c r="F434" s="135">
        <v>6</v>
      </c>
      <c r="G434" s="135">
        <v>1</v>
      </c>
      <c r="H434" s="135" t="s">
        <v>1746</v>
      </c>
      <c r="I434" s="178"/>
      <c r="J434" s="178"/>
      <c r="K434" s="179">
        <v>4.4926000000000001E-2</v>
      </c>
      <c r="L434" s="179">
        <v>0</v>
      </c>
      <c r="M434" s="180">
        <f>K434/(1-'Sac Parametreleri'!$B$29)</f>
        <v>5.6940430925221795E-2</v>
      </c>
      <c r="N434" s="180">
        <f t="shared" si="28"/>
        <v>1.2014430925221795E-2</v>
      </c>
      <c r="O434" s="138">
        <f t="shared" si="29"/>
        <v>0.21099999999999994</v>
      </c>
      <c r="P434" s="181">
        <f>IF(E434="Hardox 450",INDEX('Sac Parametreleri'!$G$11:$G$24,MATCH(F434,'Sac Parametreleri'!$A$11:$A$24,0)),INDEX('Sac Parametreleri'!$E$11:$E$24,MATCH(F434,'Sac Parametreleri'!$A$11:$A$24,0)))</f>
        <v>37.68</v>
      </c>
      <c r="Q434" s="181">
        <f>INDEX('Sac Parametreleri'!$F$11:$F$24,MATCH(F434,'Sac Parametreleri'!$A$11:$A$24,0))</f>
        <v>15.414545454545452</v>
      </c>
      <c r="R434" s="182">
        <f t="shared" si="30"/>
        <v>1.9603184456550291</v>
      </c>
      <c r="S434" s="182">
        <f t="shared" si="31"/>
        <v>1.9603184456550291</v>
      </c>
      <c r="T434" s="139">
        <f>K434*F434*'Sac Parametreleri'!$B$6*G434</f>
        <v>2.1160146000000002</v>
      </c>
      <c r="U434" s="139">
        <f>N434*F434*'Sac Parametreleri'!$B$6*G434</f>
        <v>0.56587969657794646</v>
      </c>
      <c r="V434" s="139">
        <f>M434*F434*'Sac Parametreleri'!$B$6*G434</f>
        <v>2.6818942965779464</v>
      </c>
      <c r="W434" s="135" t="s">
        <v>1520</v>
      </c>
    </row>
    <row r="435" spans="1:24" ht="15" customHeight="1" x14ac:dyDescent="0.25">
      <c r="A435" s="135" t="s">
        <v>550</v>
      </c>
      <c r="B435" s="135">
        <v>2</v>
      </c>
      <c r="C435" s="135" t="s">
        <v>1927</v>
      </c>
      <c r="D435" s="135" t="s">
        <v>1928</v>
      </c>
      <c r="E435" s="135" t="s">
        <v>1552</v>
      </c>
      <c r="F435" s="135">
        <v>6</v>
      </c>
      <c r="G435" s="135">
        <v>1</v>
      </c>
      <c r="H435" s="135" t="s">
        <v>1742</v>
      </c>
      <c r="I435" s="178"/>
      <c r="J435" s="178"/>
      <c r="K435" s="179">
        <v>6.6670000000000002E-3</v>
      </c>
      <c r="L435" s="179">
        <v>0</v>
      </c>
      <c r="M435" s="180">
        <f>K435/(1-'Sac Parametreleri'!$B$27)</f>
        <v>8.1304878048780484E-3</v>
      </c>
      <c r="N435" s="180">
        <f t="shared" si="28"/>
        <v>1.4634878048780482E-3</v>
      </c>
      <c r="O435" s="138">
        <f t="shared" si="29"/>
        <v>0.17999999999999994</v>
      </c>
      <c r="P435" s="181">
        <f>IF(E435="Hardox 450",INDEX('Sac Parametreleri'!$G$11:$G$24,MATCH(F435,'Sac Parametreleri'!$A$11:$A$24,0)),INDEX('Sac Parametreleri'!$E$11:$E$24,MATCH(F435,'Sac Parametreleri'!$A$11:$A$24,0)))</f>
        <v>37.68</v>
      </c>
      <c r="Q435" s="181">
        <f>INDEX('Sac Parametreleri'!$F$11:$F$24,MATCH(F435,'Sac Parametreleri'!$A$11:$A$24,0))</f>
        <v>15.414545454545452</v>
      </c>
      <c r="R435" s="182">
        <f t="shared" si="30"/>
        <v>0.28379778119733923</v>
      </c>
      <c r="S435" s="182">
        <f t="shared" si="31"/>
        <v>0.28379778119733923</v>
      </c>
      <c r="T435" s="139">
        <f>K435*F435*'Sac Parametreleri'!$B$6*G435</f>
        <v>0.31401570000000001</v>
      </c>
      <c r="U435" s="139">
        <f>N435*F435*'Sac Parametreleri'!$B$6*G435</f>
        <v>6.8930275609756064E-2</v>
      </c>
      <c r="V435" s="139">
        <f>M435*F435*'Sac Parametreleri'!$B$6*G435</f>
        <v>0.38294597560975607</v>
      </c>
      <c r="W435" s="135" t="s">
        <v>1520</v>
      </c>
    </row>
    <row r="436" spans="1:24" ht="21.75" customHeight="1" x14ac:dyDescent="0.25">
      <c r="A436" s="135" t="s">
        <v>607</v>
      </c>
      <c r="B436" s="135">
        <v>1</v>
      </c>
      <c r="C436" s="135" t="s">
        <v>1602</v>
      </c>
      <c r="D436" s="135" t="s">
        <v>1929</v>
      </c>
      <c r="E436" s="135" t="s">
        <v>1552</v>
      </c>
      <c r="F436" s="135">
        <v>8</v>
      </c>
      <c r="G436" s="135">
        <v>1</v>
      </c>
      <c r="H436" s="135" t="s">
        <v>1739</v>
      </c>
      <c r="I436" s="178">
        <v>210</v>
      </c>
      <c r="J436" s="178">
        <v>90</v>
      </c>
      <c r="K436" s="179">
        <v>1.7912999999999998E-2</v>
      </c>
      <c r="L436" s="179">
        <v>8.8699999999999998E-4</v>
      </c>
      <c r="M436" s="180">
        <f>I436*J436/1000000</f>
        <v>1.89E-2</v>
      </c>
      <c r="N436" s="180">
        <f t="shared" si="28"/>
        <v>9.8700000000000176E-4</v>
      </c>
      <c r="O436" s="138">
        <f t="shared" si="29"/>
        <v>5.2222222222222316E-2</v>
      </c>
      <c r="P436" s="181">
        <f>IF(E436="Hardox 450",INDEX('Sac Parametreleri'!$G$11:$G$24,MATCH(F436,'Sac Parametreleri'!$A$11:$A$24,0)),INDEX('Sac Parametreleri'!$E$11:$E$24,MATCH(F436,'Sac Parametreleri'!$A$11:$A$24,0)))</f>
        <v>50.24</v>
      </c>
      <c r="Q436" s="181">
        <f>INDEX('Sac Parametreleri'!$F$11:$F$24,MATCH(F436,'Sac Parametreleri'!$A$11:$A$24,0))</f>
        <v>20.552727272727271</v>
      </c>
      <c r="R436" s="182">
        <f t="shared" si="30"/>
        <v>0.92925045818181817</v>
      </c>
      <c r="S436" s="182">
        <f t="shared" si="31"/>
        <v>0.92925045818181817</v>
      </c>
      <c r="T436" s="139">
        <f>K436*F436*'Sac Parametreleri'!$B$6*G436</f>
        <v>1.1249363999999999</v>
      </c>
      <c r="U436" s="139">
        <f>N436*F436*'Sac Parametreleri'!$B$6*G436</f>
        <v>6.1983600000000111E-2</v>
      </c>
      <c r="V436" s="139">
        <f>M436*F436*'Sac Parametreleri'!$B$6*G436</f>
        <v>1.18692</v>
      </c>
      <c r="W436" s="135" t="s">
        <v>1520</v>
      </c>
      <c r="X436" s="183" t="s">
        <v>1921</v>
      </c>
    </row>
    <row r="437" spans="1:24" ht="15" customHeight="1" x14ac:dyDescent="0.25">
      <c r="A437" s="135" t="s">
        <v>598</v>
      </c>
      <c r="B437" s="135">
        <v>1</v>
      </c>
      <c r="C437" s="135" t="s">
        <v>858</v>
      </c>
      <c r="D437" s="135" t="s">
        <v>859</v>
      </c>
      <c r="E437" s="135" t="s">
        <v>1552</v>
      </c>
      <c r="F437" s="135">
        <v>5</v>
      </c>
      <c r="G437" s="135">
        <v>1</v>
      </c>
      <c r="H437" s="135" t="s">
        <v>1746</v>
      </c>
      <c r="I437" s="178"/>
      <c r="J437" s="178"/>
      <c r="K437" s="179">
        <v>3.7529E-2</v>
      </c>
      <c r="L437" s="179">
        <v>0</v>
      </c>
      <c r="M437" s="180">
        <f>K437/(1-'Sac Parametreleri'!$B$29)</f>
        <v>4.7565272496831429E-2</v>
      </c>
      <c r="N437" s="180">
        <f t="shared" si="28"/>
        <v>1.0036272496831429E-2</v>
      </c>
      <c r="O437" s="138">
        <f t="shared" si="29"/>
        <v>0.21099999999999994</v>
      </c>
      <c r="P437" s="181">
        <f>IF(E437="Hardox 450",INDEX('Sac Parametreleri'!$G$11:$G$24,MATCH(F437,'Sac Parametreleri'!$A$11:$A$24,0)),INDEX('Sac Parametreleri'!$E$11:$E$24,MATCH(F437,'Sac Parametreleri'!$A$11:$A$24,0)))</f>
        <v>31.400000000000002</v>
      </c>
      <c r="Q437" s="181">
        <f>INDEX('Sac Parametreleri'!$F$11:$F$24,MATCH(F437,'Sac Parametreleri'!$A$11:$A$24,0))</f>
        <v>12.845454545454546</v>
      </c>
      <c r="R437" s="182">
        <f t="shared" si="30"/>
        <v>1.3646290742366634</v>
      </c>
      <c r="S437" s="182">
        <f t="shared" si="31"/>
        <v>1.3646290742366634</v>
      </c>
      <c r="T437" s="139">
        <f>K437*F437*'Sac Parametreleri'!$B$6*G437</f>
        <v>1.4730132499999999</v>
      </c>
      <c r="U437" s="139">
        <f>N437*F437*'Sac Parametreleri'!$B$6*G437</f>
        <v>0.39392369550063355</v>
      </c>
      <c r="V437" s="139">
        <f>M437*F437*'Sac Parametreleri'!$B$6*G437</f>
        <v>1.8669369455006335</v>
      </c>
      <c r="W437" s="135" t="s">
        <v>1520</v>
      </c>
    </row>
    <row r="438" spans="1:24" ht="15" customHeight="1" x14ac:dyDescent="0.25">
      <c r="A438" s="135" t="s">
        <v>598</v>
      </c>
      <c r="B438" s="135">
        <v>2</v>
      </c>
      <c r="C438" s="135" t="s">
        <v>860</v>
      </c>
      <c r="D438" s="135" t="s">
        <v>859</v>
      </c>
      <c r="E438" s="135" t="s">
        <v>1552</v>
      </c>
      <c r="F438" s="135">
        <v>5</v>
      </c>
      <c r="G438" s="135">
        <v>1</v>
      </c>
      <c r="H438" s="135" t="s">
        <v>1765</v>
      </c>
      <c r="I438" s="178"/>
      <c r="J438" s="178"/>
      <c r="K438" s="179">
        <v>2.3465E-2</v>
      </c>
      <c r="L438" s="179">
        <v>0</v>
      </c>
      <c r="M438" s="180">
        <f>K438/(1-'Sac Parametreleri'!$B$29)</f>
        <v>2.9740177439797209E-2</v>
      </c>
      <c r="N438" s="180">
        <f t="shared" si="28"/>
        <v>6.2751774397972089E-3</v>
      </c>
      <c r="O438" s="138">
        <f t="shared" si="29"/>
        <v>0.21099999999999994</v>
      </c>
      <c r="P438" s="181">
        <f>IF(E438="Hardox 450",INDEX('Sac Parametreleri'!$G$11:$G$24,MATCH(F438,'Sac Parametreleri'!$A$11:$A$24,0)),INDEX('Sac Parametreleri'!$E$11:$E$24,MATCH(F438,'Sac Parametreleri'!$A$11:$A$24,0)))</f>
        <v>31.400000000000002</v>
      </c>
      <c r="Q438" s="181">
        <f>INDEX('Sac Parametreleri'!$F$11:$F$24,MATCH(F438,'Sac Parametreleri'!$A$11:$A$24,0))</f>
        <v>12.845454545454546</v>
      </c>
      <c r="R438" s="182">
        <f t="shared" si="30"/>
        <v>0.85323406504205557</v>
      </c>
      <c r="S438" s="182">
        <f t="shared" si="31"/>
        <v>0.85323406504205557</v>
      </c>
      <c r="T438" s="139">
        <f>K438*F438*'Sac Parametreleri'!$B$6*G438</f>
        <v>0.92100124999999999</v>
      </c>
      <c r="U438" s="139">
        <f>N438*F438*'Sac Parametreleri'!$B$6*G438</f>
        <v>0.24630071451204041</v>
      </c>
      <c r="V438" s="139">
        <f>M438*F438*'Sac Parametreleri'!$B$6*G438</f>
        <v>1.1673019645120404</v>
      </c>
      <c r="W438" s="135" t="s">
        <v>1520</v>
      </c>
    </row>
    <row r="439" spans="1:24" ht="15" customHeight="1" x14ac:dyDescent="0.25">
      <c r="A439" s="135" t="s">
        <v>610</v>
      </c>
      <c r="B439" s="135">
        <v>1</v>
      </c>
      <c r="C439" s="135" t="s">
        <v>948</v>
      </c>
      <c r="D439" s="135" t="s">
        <v>949</v>
      </c>
      <c r="E439" s="135" t="s">
        <v>1552</v>
      </c>
      <c r="F439" s="135">
        <v>8</v>
      </c>
      <c r="G439" s="135">
        <v>1</v>
      </c>
      <c r="H439" s="135" t="s">
        <v>1746</v>
      </c>
      <c r="I439" s="178"/>
      <c r="J439" s="178"/>
      <c r="K439" s="179">
        <v>1.5127E-2</v>
      </c>
      <c r="L439" s="179">
        <v>0</v>
      </c>
      <c r="M439" s="180">
        <f>K439/(1-'Sac Parametreleri'!$B$29)</f>
        <v>1.9172370088719897E-2</v>
      </c>
      <c r="N439" s="180">
        <f t="shared" si="28"/>
        <v>4.0453700887198973E-3</v>
      </c>
      <c r="O439" s="138">
        <f t="shared" si="29"/>
        <v>0.21099999999999994</v>
      </c>
      <c r="P439" s="181">
        <f>IF(E439="Hardox 450",INDEX('Sac Parametreleri'!$G$11:$G$24,MATCH(F439,'Sac Parametreleri'!$A$11:$A$24,0)),INDEX('Sac Parametreleri'!$E$11:$E$24,MATCH(F439,'Sac Parametreleri'!$A$11:$A$24,0)))</f>
        <v>50.24</v>
      </c>
      <c r="Q439" s="181">
        <f>INDEX('Sac Parametreleri'!$F$11:$F$24,MATCH(F439,'Sac Parametreleri'!$A$11:$A$24,0))</f>
        <v>20.552727272727271</v>
      </c>
      <c r="R439" s="182">
        <f t="shared" si="30"/>
        <v>0.8800764851065791</v>
      </c>
      <c r="S439" s="182">
        <f t="shared" si="31"/>
        <v>0.8800764851065791</v>
      </c>
      <c r="T439" s="139">
        <f>K439*F439*'Sac Parametreleri'!$B$6*G439</f>
        <v>0.94997559999999992</v>
      </c>
      <c r="U439" s="139">
        <f>N439*F439*'Sac Parametreleri'!$B$6*G439</f>
        <v>0.25404924157160952</v>
      </c>
      <c r="V439" s="139">
        <f>M439*F439*'Sac Parametreleri'!$B$6*G439</f>
        <v>1.2040248415716095</v>
      </c>
      <c r="W439" s="135" t="s">
        <v>1520</v>
      </c>
    </row>
    <row r="440" spans="1:24" ht="15" customHeight="1" x14ac:dyDescent="0.25">
      <c r="A440" s="135" t="s">
        <v>610</v>
      </c>
      <c r="B440" s="135">
        <v>2</v>
      </c>
      <c r="C440" s="135" t="s">
        <v>1930</v>
      </c>
      <c r="D440" s="135" t="s">
        <v>1931</v>
      </c>
      <c r="E440" s="135" t="s">
        <v>1552</v>
      </c>
      <c r="F440" s="135">
        <v>8</v>
      </c>
      <c r="G440" s="135">
        <v>2</v>
      </c>
      <c r="H440" s="135" t="s">
        <v>1742</v>
      </c>
      <c r="I440" s="178"/>
      <c r="J440" s="178"/>
      <c r="K440" s="179">
        <v>2.9139999999999999E-3</v>
      </c>
      <c r="L440" s="179">
        <v>0</v>
      </c>
      <c r="M440" s="180">
        <f>K440/(1-'Sac Parametreleri'!$B$27)</f>
        <v>3.5536585365853655E-3</v>
      </c>
      <c r="N440" s="180">
        <f t="shared" si="28"/>
        <v>6.3965853658536553E-4</v>
      </c>
      <c r="O440" s="138">
        <f t="shared" si="29"/>
        <v>0.17999999999999994</v>
      </c>
      <c r="P440" s="181">
        <f>IF(E440="Hardox 450",INDEX('Sac Parametreleri'!$G$11:$G$24,MATCH(F440,'Sac Parametreleri'!$A$11:$A$24,0)),INDEX('Sac Parametreleri'!$E$11:$E$24,MATCH(F440,'Sac Parametreleri'!$A$11:$A$24,0)))</f>
        <v>50.24</v>
      </c>
      <c r="Q440" s="181">
        <f>INDEX('Sac Parametreleri'!$F$11:$F$24,MATCH(F440,'Sac Parametreleri'!$A$11:$A$24,0))</f>
        <v>20.552727272727271</v>
      </c>
      <c r="R440" s="182">
        <f t="shared" si="30"/>
        <v>0.1653890774279379</v>
      </c>
      <c r="S440" s="182">
        <f t="shared" si="31"/>
        <v>0.33077815485587581</v>
      </c>
      <c r="T440" s="139">
        <f>K440*F440*'Sac Parametreleri'!$B$6*G440</f>
        <v>0.3659984</v>
      </c>
      <c r="U440" s="139">
        <f>N440*F440*'Sac Parametreleri'!$B$6*G440</f>
        <v>8.0341112195121911E-2</v>
      </c>
      <c r="V440" s="139">
        <f>M440*F440*'Sac Parametreleri'!$B$6*G440</f>
        <v>0.44633951219512186</v>
      </c>
      <c r="W440" s="135" t="s">
        <v>1520</v>
      </c>
    </row>
    <row r="441" spans="1:24" ht="15" customHeight="1" x14ac:dyDescent="0.25">
      <c r="A441" s="135" t="s">
        <v>610</v>
      </c>
      <c r="B441" s="135">
        <v>3</v>
      </c>
      <c r="C441" s="135" t="s">
        <v>1932</v>
      </c>
      <c r="D441" s="135" t="s">
        <v>882</v>
      </c>
      <c r="E441" s="135" t="s">
        <v>1552</v>
      </c>
      <c r="F441" s="135">
        <v>6</v>
      </c>
      <c r="G441" s="135">
        <v>1</v>
      </c>
      <c r="H441" s="135" t="s">
        <v>1742</v>
      </c>
      <c r="I441" s="178"/>
      <c r="J441" s="178"/>
      <c r="K441" s="179">
        <v>2.0636999999999999E-2</v>
      </c>
      <c r="L441" s="179">
        <v>0</v>
      </c>
      <c r="M441" s="180">
        <f>K441/(1-'Sac Parametreleri'!$B$27)</f>
        <v>2.5167073170731705E-2</v>
      </c>
      <c r="N441" s="180">
        <f t="shared" si="28"/>
        <v>4.5300731707317056E-3</v>
      </c>
      <c r="O441" s="138">
        <f t="shared" si="29"/>
        <v>0.17999999999999994</v>
      </c>
      <c r="P441" s="181">
        <f>IF(E441="Hardox 450",INDEX('Sac Parametreleri'!$G$11:$G$24,MATCH(F441,'Sac Parametreleri'!$A$11:$A$24,0)),INDEX('Sac Parametreleri'!$E$11:$E$24,MATCH(F441,'Sac Parametreleri'!$A$11:$A$24,0)))</f>
        <v>37.68</v>
      </c>
      <c r="Q441" s="181">
        <f>INDEX('Sac Parametreleri'!$F$11:$F$24,MATCH(F441,'Sac Parametreleri'!$A$11:$A$24,0))</f>
        <v>15.414545454545452</v>
      </c>
      <c r="R441" s="182">
        <f t="shared" si="30"/>
        <v>0.87846629827050993</v>
      </c>
      <c r="S441" s="182">
        <f t="shared" si="31"/>
        <v>0.87846629827050993</v>
      </c>
      <c r="T441" s="139">
        <f>K441*F441*'Sac Parametreleri'!$B$6*G441</f>
        <v>0.97200269999999989</v>
      </c>
      <c r="U441" s="139">
        <f>N441*F441*'Sac Parametreleri'!$B$6*G441</f>
        <v>0.21336644634146332</v>
      </c>
      <c r="V441" s="139">
        <f>M441*F441*'Sac Parametreleri'!$B$6*G441</f>
        <v>1.1853691463414633</v>
      </c>
      <c r="W441" s="135" t="s">
        <v>1520</v>
      </c>
    </row>
    <row r="442" spans="1:24" ht="15" customHeight="1" x14ac:dyDescent="0.25">
      <c r="A442" s="135" t="s">
        <v>552</v>
      </c>
      <c r="B442" s="135">
        <v>1</v>
      </c>
      <c r="C442" s="135" t="s">
        <v>1001</v>
      </c>
      <c r="D442" s="135" t="s">
        <v>749</v>
      </c>
      <c r="E442" s="135" t="s">
        <v>1552</v>
      </c>
      <c r="F442" s="135">
        <v>3</v>
      </c>
      <c r="G442" s="135">
        <v>1</v>
      </c>
      <c r="H442" s="135" t="s">
        <v>1922</v>
      </c>
      <c r="I442" s="178"/>
      <c r="J442" s="178"/>
      <c r="K442" s="179">
        <v>8.3311999999999997E-2</v>
      </c>
      <c r="L442" s="179">
        <v>0</v>
      </c>
      <c r="M442" s="180">
        <f>K442/(1-'Sac Parametreleri'!$B$29)</f>
        <v>0.10559188846641317</v>
      </c>
      <c r="N442" s="180">
        <f t="shared" si="28"/>
        <v>2.227988846641317E-2</v>
      </c>
      <c r="O442" s="138">
        <f t="shared" si="29"/>
        <v>0.21099999999999991</v>
      </c>
      <c r="P442" s="181">
        <f>IF(E442="Hardox 450",INDEX('Sac Parametreleri'!$G$11:$G$24,MATCH(F442,'Sac Parametreleri'!$A$11:$A$24,0)),INDEX('Sac Parametreleri'!$E$11:$E$24,MATCH(F442,'Sac Parametreleri'!$A$11:$A$24,0)))</f>
        <v>18.84</v>
      </c>
      <c r="Q442" s="181">
        <f>INDEX('Sac Parametreleri'!$F$11:$F$24,MATCH(F442,'Sac Parametreleri'!$A$11:$A$24,0))</f>
        <v>7.7072727272727262</v>
      </c>
      <c r="R442" s="182">
        <f t="shared" si="30"/>
        <v>1.8176340019633597</v>
      </c>
      <c r="S442" s="182">
        <f t="shared" si="31"/>
        <v>1.8176340019633597</v>
      </c>
      <c r="T442" s="139">
        <f>K442*F442*'Sac Parametreleri'!$B$6*G442</f>
        <v>1.9619975999999999</v>
      </c>
      <c r="U442" s="139">
        <f>N442*F442*'Sac Parametreleri'!$B$6*G442</f>
        <v>0.52469137338403016</v>
      </c>
      <c r="V442" s="139">
        <f>M442*F442*'Sac Parametreleri'!$B$6*G442</f>
        <v>2.4866889733840303</v>
      </c>
      <c r="W442" s="135" t="s">
        <v>1520</v>
      </c>
    </row>
    <row r="443" spans="1:24" ht="15" customHeight="1" x14ac:dyDescent="0.25">
      <c r="A443" s="135" t="s">
        <v>552</v>
      </c>
      <c r="B443" s="135">
        <v>2</v>
      </c>
      <c r="C443" s="135" t="s">
        <v>1002</v>
      </c>
      <c r="D443" s="135" t="s">
        <v>749</v>
      </c>
      <c r="E443" s="135" t="s">
        <v>1552</v>
      </c>
      <c r="F443" s="135">
        <v>4</v>
      </c>
      <c r="G443" s="135">
        <v>2</v>
      </c>
      <c r="H443" s="135" t="s">
        <v>1765</v>
      </c>
      <c r="I443" s="178"/>
      <c r="J443" s="178"/>
      <c r="K443" s="179">
        <v>2.7070000000000002E-3</v>
      </c>
      <c r="L443" s="179">
        <v>0</v>
      </c>
      <c r="M443" s="180">
        <f>K443/(1-'Sac Parametreleri'!$B$29)</f>
        <v>3.4309252217997466E-3</v>
      </c>
      <c r="N443" s="180">
        <f t="shared" si="28"/>
        <v>7.2392522179974637E-4</v>
      </c>
      <c r="O443" s="138">
        <f t="shared" si="29"/>
        <v>0.21099999999999997</v>
      </c>
      <c r="P443" s="181">
        <f>IF(E443="Hardox 450",INDEX('Sac Parametreleri'!$G$11:$G$24,MATCH(F443,'Sac Parametreleri'!$A$11:$A$24,0)),INDEX('Sac Parametreleri'!$E$11:$E$24,MATCH(F443,'Sac Parametreleri'!$A$11:$A$24,0)))</f>
        <v>25.12</v>
      </c>
      <c r="Q443" s="181">
        <f>INDEX('Sac Parametreleri'!$F$11:$F$24,MATCH(F443,'Sac Parametreleri'!$A$11:$A$24,0))</f>
        <v>10.276363636363635</v>
      </c>
      <c r="R443" s="182">
        <f t="shared" si="30"/>
        <v>7.8745522746860239E-2</v>
      </c>
      <c r="S443" s="182">
        <f t="shared" si="31"/>
        <v>0.15749104549372048</v>
      </c>
      <c r="T443" s="139">
        <f>K443*F443*'Sac Parametreleri'!$B$6*G443</f>
        <v>0.1699996</v>
      </c>
      <c r="U443" s="139">
        <f>N443*F443*'Sac Parametreleri'!$B$6*G443</f>
        <v>4.5462503929024067E-2</v>
      </c>
      <c r="V443" s="139">
        <f>M443*F443*'Sac Parametreleri'!$B$6*G443</f>
        <v>0.21546210392902407</v>
      </c>
      <c r="W443" s="135" t="s">
        <v>1520</v>
      </c>
    </row>
    <row r="444" spans="1:24" ht="15" customHeight="1" x14ac:dyDescent="0.25">
      <c r="A444" s="135" t="s">
        <v>553</v>
      </c>
      <c r="B444" s="135">
        <v>1</v>
      </c>
      <c r="C444" s="135" t="s">
        <v>1003</v>
      </c>
      <c r="D444" s="135" t="s">
        <v>749</v>
      </c>
      <c r="E444" s="135" t="s">
        <v>1552</v>
      </c>
      <c r="F444" s="135">
        <v>3</v>
      </c>
      <c r="G444" s="135">
        <v>1</v>
      </c>
      <c r="H444" s="135" t="s">
        <v>1922</v>
      </c>
      <c r="I444" s="178"/>
      <c r="J444" s="178"/>
      <c r="K444" s="179">
        <v>8.3311999999999997E-2</v>
      </c>
      <c r="L444" s="179">
        <v>0</v>
      </c>
      <c r="M444" s="180">
        <f>K444/(1-'Sac Parametreleri'!$B$29)</f>
        <v>0.10559188846641317</v>
      </c>
      <c r="N444" s="180">
        <f t="shared" si="28"/>
        <v>2.227988846641317E-2</v>
      </c>
      <c r="O444" s="138">
        <f t="shared" si="29"/>
        <v>0.21099999999999991</v>
      </c>
      <c r="P444" s="181">
        <f>IF(E444="Hardox 450",INDEX('Sac Parametreleri'!$G$11:$G$24,MATCH(F444,'Sac Parametreleri'!$A$11:$A$24,0)),INDEX('Sac Parametreleri'!$E$11:$E$24,MATCH(F444,'Sac Parametreleri'!$A$11:$A$24,0)))</f>
        <v>18.84</v>
      </c>
      <c r="Q444" s="181">
        <f>INDEX('Sac Parametreleri'!$F$11:$F$24,MATCH(F444,'Sac Parametreleri'!$A$11:$A$24,0))</f>
        <v>7.7072727272727262</v>
      </c>
      <c r="R444" s="182">
        <f t="shared" si="30"/>
        <v>1.8176340019633597</v>
      </c>
      <c r="S444" s="182">
        <f t="shared" si="31"/>
        <v>1.8176340019633597</v>
      </c>
      <c r="T444" s="139">
        <f>K444*F444*'Sac Parametreleri'!$B$6*G444</f>
        <v>1.9619975999999999</v>
      </c>
      <c r="U444" s="139">
        <f>N444*F444*'Sac Parametreleri'!$B$6*G444</f>
        <v>0.52469137338403016</v>
      </c>
      <c r="V444" s="139">
        <f>M444*F444*'Sac Parametreleri'!$B$6*G444</f>
        <v>2.4866889733840303</v>
      </c>
      <c r="W444" s="135" t="s">
        <v>1520</v>
      </c>
    </row>
    <row r="445" spans="1:24" ht="15" customHeight="1" x14ac:dyDescent="0.25">
      <c r="A445" s="135" t="s">
        <v>553</v>
      </c>
      <c r="B445" s="135">
        <v>2</v>
      </c>
      <c r="C445" s="135" t="s">
        <v>1002</v>
      </c>
      <c r="D445" s="135" t="s">
        <v>749</v>
      </c>
      <c r="E445" s="135" t="s">
        <v>1552</v>
      </c>
      <c r="F445" s="135">
        <v>4</v>
      </c>
      <c r="G445" s="135">
        <v>2</v>
      </c>
      <c r="H445" s="135" t="s">
        <v>1765</v>
      </c>
      <c r="I445" s="178"/>
      <c r="J445" s="178"/>
      <c r="K445" s="179">
        <v>2.7070000000000002E-3</v>
      </c>
      <c r="L445" s="179">
        <v>0</v>
      </c>
      <c r="M445" s="180">
        <f>K445/(1-'Sac Parametreleri'!$B$29)</f>
        <v>3.4309252217997466E-3</v>
      </c>
      <c r="N445" s="180">
        <f t="shared" si="28"/>
        <v>7.2392522179974637E-4</v>
      </c>
      <c r="O445" s="138">
        <f t="shared" si="29"/>
        <v>0.21099999999999997</v>
      </c>
      <c r="P445" s="181">
        <f>IF(E445="Hardox 450",INDEX('Sac Parametreleri'!$G$11:$G$24,MATCH(F445,'Sac Parametreleri'!$A$11:$A$24,0)),INDEX('Sac Parametreleri'!$E$11:$E$24,MATCH(F445,'Sac Parametreleri'!$A$11:$A$24,0)))</f>
        <v>25.12</v>
      </c>
      <c r="Q445" s="181">
        <f>INDEX('Sac Parametreleri'!$F$11:$F$24,MATCH(F445,'Sac Parametreleri'!$A$11:$A$24,0))</f>
        <v>10.276363636363635</v>
      </c>
      <c r="R445" s="182">
        <f t="shared" si="30"/>
        <v>7.8745522746860239E-2</v>
      </c>
      <c r="S445" s="182">
        <f t="shared" si="31"/>
        <v>0.15749104549372048</v>
      </c>
      <c r="T445" s="139">
        <f>K445*F445*'Sac Parametreleri'!$B$6*G445</f>
        <v>0.1699996</v>
      </c>
      <c r="U445" s="139">
        <f>N445*F445*'Sac Parametreleri'!$B$6*G445</f>
        <v>4.5462503929024067E-2</v>
      </c>
      <c r="V445" s="139">
        <f>M445*F445*'Sac Parametreleri'!$B$6*G445</f>
        <v>0.21546210392902407</v>
      </c>
      <c r="W445" s="135" t="s">
        <v>1520</v>
      </c>
    </row>
    <row r="446" spans="1:24" ht="15" customHeight="1" x14ac:dyDescent="0.25">
      <c r="A446" s="135" t="s">
        <v>503</v>
      </c>
      <c r="B446" s="135">
        <v>1</v>
      </c>
      <c r="C446" s="135" t="s">
        <v>881</v>
      </c>
      <c r="D446" s="135" t="s">
        <v>882</v>
      </c>
      <c r="E446" s="135" t="s">
        <v>1552</v>
      </c>
      <c r="F446" s="135">
        <v>6</v>
      </c>
      <c r="G446" s="135">
        <v>1</v>
      </c>
      <c r="H446" s="135" t="s">
        <v>1746</v>
      </c>
      <c r="I446" s="178"/>
      <c r="J446" s="178"/>
      <c r="K446" s="179">
        <v>3.8705000000000003E-2</v>
      </c>
      <c r="L446" s="179">
        <v>0</v>
      </c>
      <c r="M446" s="180">
        <f>K446/(1-'Sac Parametreleri'!$B$29)</f>
        <v>4.9055766793409381E-2</v>
      </c>
      <c r="N446" s="180">
        <f t="shared" si="28"/>
        <v>1.0350766793409377E-2</v>
      </c>
      <c r="O446" s="138">
        <f t="shared" si="29"/>
        <v>0.21099999999999997</v>
      </c>
      <c r="P446" s="181">
        <f>IF(E446="Hardox 450",INDEX('Sac Parametreleri'!$G$11:$G$24,MATCH(F446,'Sac Parametreleri'!$A$11:$A$24,0)),INDEX('Sac Parametreleri'!$E$11:$E$24,MATCH(F446,'Sac Parametreleri'!$A$11:$A$24,0)))</f>
        <v>37.68</v>
      </c>
      <c r="Q446" s="181">
        <f>INDEX('Sac Parametreleri'!$F$11:$F$24,MATCH(F446,'Sac Parametreleri'!$A$11:$A$24,0))</f>
        <v>15.414545454545452</v>
      </c>
      <c r="R446" s="182">
        <f t="shared" si="30"/>
        <v>1.6888689275492568</v>
      </c>
      <c r="S446" s="182">
        <f t="shared" si="31"/>
        <v>1.6888689275492568</v>
      </c>
      <c r="T446" s="139">
        <f>K446*F446*'Sac Parametreleri'!$B$6*G446</f>
        <v>1.8230055000000001</v>
      </c>
      <c r="U446" s="139">
        <f>N446*F446*'Sac Parametreleri'!$B$6*G446</f>
        <v>0.48752111596958164</v>
      </c>
      <c r="V446" s="139">
        <f>M446*F446*'Sac Parametreleri'!$B$6*G446</f>
        <v>2.3105266159695814</v>
      </c>
      <c r="W446" s="135" t="s">
        <v>1520</v>
      </c>
    </row>
    <row r="447" spans="1:24" ht="15" customHeight="1" x14ac:dyDescent="0.25">
      <c r="A447" s="135" t="s">
        <v>503</v>
      </c>
      <c r="B447" s="135">
        <v>2</v>
      </c>
      <c r="C447" s="135" t="s">
        <v>1933</v>
      </c>
      <c r="D447" s="135" t="s">
        <v>1934</v>
      </c>
      <c r="E447" s="135" t="s">
        <v>1552</v>
      </c>
      <c r="F447" s="135">
        <v>6</v>
      </c>
      <c r="G447" s="135">
        <v>1</v>
      </c>
      <c r="H447" s="135" t="s">
        <v>1742</v>
      </c>
      <c r="I447" s="178"/>
      <c r="J447" s="178"/>
      <c r="K447" s="179">
        <v>6.6670000000000002E-3</v>
      </c>
      <c r="L447" s="179">
        <v>0</v>
      </c>
      <c r="M447" s="180">
        <f>K447/(1-'Sac Parametreleri'!$B$27)</f>
        <v>8.1304878048780484E-3</v>
      </c>
      <c r="N447" s="180">
        <f t="shared" si="28"/>
        <v>1.4634878048780482E-3</v>
      </c>
      <c r="O447" s="138">
        <f t="shared" si="29"/>
        <v>0.17999999999999994</v>
      </c>
      <c r="P447" s="181">
        <f>IF(E447="Hardox 450",INDEX('Sac Parametreleri'!$G$11:$G$24,MATCH(F447,'Sac Parametreleri'!$A$11:$A$24,0)),INDEX('Sac Parametreleri'!$E$11:$E$24,MATCH(F447,'Sac Parametreleri'!$A$11:$A$24,0)))</f>
        <v>37.68</v>
      </c>
      <c r="Q447" s="181">
        <f>INDEX('Sac Parametreleri'!$F$11:$F$24,MATCH(F447,'Sac Parametreleri'!$A$11:$A$24,0))</f>
        <v>15.414545454545452</v>
      </c>
      <c r="R447" s="182">
        <f t="shared" si="30"/>
        <v>0.28379778119733923</v>
      </c>
      <c r="S447" s="182">
        <f t="shared" si="31"/>
        <v>0.28379778119733923</v>
      </c>
      <c r="T447" s="139">
        <f>K447*F447*'Sac Parametreleri'!$B$6*G447</f>
        <v>0.31401570000000001</v>
      </c>
      <c r="U447" s="139">
        <f>N447*F447*'Sac Parametreleri'!$B$6*G447</f>
        <v>6.8930275609756064E-2</v>
      </c>
      <c r="V447" s="139">
        <f>M447*F447*'Sac Parametreleri'!$B$6*G447</f>
        <v>0.38294597560975607</v>
      </c>
      <c r="W447" s="135" t="s">
        <v>1520</v>
      </c>
    </row>
    <row r="448" spans="1:24" ht="15" customHeight="1" x14ac:dyDescent="0.25">
      <c r="A448" s="135" t="s">
        <v>533</v>
      </c>
      <c r="B448" s="135">
        <v>1</v>
      </c>
      <c r="C448" s="135" t="s">
        <v>899</v>
      </c>
      <c r="D448" s="135" t="s">
        <v>892</v>
      </c>
      <c r="E448" s="135" t="s">
        <v>1552</v>
      </c>
      <c r="F448" s="135">
        <v>6</v>
      </c>
      <c r="G448" s="135">
        <v>1</v>
      </c>
      <c r="H448" s="135" t="s">
        <v>1765</v>
      </c>
      <c r="I448" s="178"/>
      <c r="J448" s="178"/>
      <c r="K448" s="179">
        <v>2.3737000000000001E-2</v>
      </c>
      <c r="L448" s="179">
        <v>0</v>
      </c>
      <c r="M448" s="180">
        <f>K448/(1-'Sac Parametreleri'!$B$29)</f>
        <v>3.0084917617237011E-2</v>
      </c>
      <c r="N448" s="180">
        <f t="shared" si="28"/>
        <v>6.3479176172370096E-3</v>
      </c>
      <c r="O448" s="138">
        <f t="shared" si="29"/>
        <v>0.21100000000000002</v>
      </c>
      <c r="P448" s="181">
        <f>IF(E448="Hardox 450",INDEX('Sac Parametreleri'!$G$11:$G$24,MATCH(F448,'Sac Parametreleri'!$A$11:$A$24,0)),INDEX('Sac Parametreleri'!$E$11:$E$24,MATCH(F448,'Sac Parametreleri'!$A$11:$A$24,0)))</f>
        <v>37.68</v>
      </c>
      <c r="Q448" s="181">
        <f>INDEX('Sac Parametreleri'!$F$11:$F$24,MATCH(F448,'Sac Parametreleri'!$A$11:$A$24,0))</f>
        <v>15.414545454545452</v>
      </c>
      <c r="R448" s="182">
        <f t="shared" si="30"/>
        <v>1.0357494311648807</v>
      </c>
      <c r="S448" s="182">
        <f t="shared" si="31"/>
        <v>1.0357494311648807</v>
      </c>
      <c r="T448" s="139">
        <f>K448*F448*'Sac Parametreleri'!$B$6*G448</f>
        <v>1.1180127</v>
      </c>
      <c r="U448" s="139">
        <f>N448*F448*'Sac Parametreleri'!$B$6*G448</f>
        <v>0.29898691977186315</v>
      </c>
      <c r="V448" s="139">
        <f>M448*F448*'Sac Parametreleri'!$B$6*G448</f>
        <v>1.4169996197718631</v>
      </c>
      <c r="W448" s="135" t="s">
        <v>1520</v>
      </c>
    </row>
    <row r="449" spans="1:24" ht="15" customHeight="1" x14ac:dyDescent="0.25">
      <c r="A449" s="135" t="s">
        <v>533</v>
      </c>
      <c r="B449" s="135">
        <v>2</v>
      </c>
      <c r="C449" s="135" t="s">
        <v>1935</v>
      </c>
      <c r="D449" s="135" t="s">
        <v>1936</v>
      </c>
      <c r="E449" s="135" t="s">
        <v>1552</v>
      </c>
      <c r="F449" s="135">
        <v>6</v>
      </c>
      <c r="G449" s="135">
        <v>2</v>
      </c>
      <c r="H449" s="135" t="s">
        <v>1742</v>
      </c>
      <c r="I449" s="178"/>
      <c r="J449" s="178"/>
      <c r="K449" s="179">
        <v>2.9719999999999998E-3</v>
      </c>
      <c r="L449" s="179">
        <v>0</v>
      </c>
      <c r="M449" s="180">
        <f>K449/(1-'Sac Parametreleri'!$B$27)</f>
        <v>3.6243902439024385E-3</v>
      </c>
      <c r="N449" s="180">
        <f t="shared" si="28"/>
        <v>6.523902439024387E-4</v>
      </c>
      <c r="O449" s="138">
        <f t="shared" si="29"/>
        <v>0.17999999999999994</v>
      </c>
      <c r="P449" s="181">
        <f>IF(E449="Hardox 450",INDEX('Sac Parametreleri'!$G$11:$G$24,MATCH(F449,'Sac Parametreleri'!$A$11:$A$24,0)),INDEX('Sac Parametreleri'!$E$11:$E$24,MATCH(F449,'Sac Parametreleri'!$A$11:$A$24,0)))</f>
        <v>37.68</v>
      </c>
      <c r="Q449" s="181">
        <f>INDEX('Sac Parametreleri'!$F$11:$F$24,MATCH(F449,'Sac Parametreleri'!$A$11:$A$24,0))</f>
        <v>15.414545454545452</v>
      </c>
      <c r="R449" s="182">
        <f t="shared" si="30"/>
        <v>0.12651072532150773</v>
      </c>
      <c r="S449" s="182">
        <f t="shared" si="31"/>
        <v>0.25302145064301546</v>
      </c>
      <c r="T449" s="139">
        <f>K449*F449*'Sac Parametreleri'!$B$6*G449</f>
        <v>0.2799624</v>
      </c>
      <c r="U449" s="139">
        <f>N449*F449*'Sac Parametreleri'!$B$6*G449</f>
        <v>6.145516097560972E-2</v>
      </c>
      <c r="V449" s="139">
        <f>M449*F449*'Sac Parametreleri'!$B$6*G449</f>
        <v>0.34141756097560971</v>
      </c>
      <c r="W449" s="135" t="s">
        <v>1520</v>
      </c>
    </row>
    <row r="450" spans="1:24" ht="15" customHeight="1" x14ac:dyDescent="0.25">
      <c r="A450" s="135" t="s">
        <v>533</v>
      </c>
      <c r="B450" s="135">
        <v>3</v>
      </c>
      <c r="C450" s="135" t="s">
        <v>900</v>
      </c>
      <c r="D450" s="135" t="s">
        <v>901</v>
      </c>
      <c r="E450" s="135" t="s">
        <v>1552</v>
      </c>
      <c r="F450" s="135">
        <v>6</v>
      </c>
      <c r="G450" s="135">
        <v>1</v>
      </c>
      <c r="H450" s="135" t="s">
        <v>1765</v>
      </c>
      <c r="I450" s="178"/>
      <c r="J450" s="178"/>
      <c r="K450" s="179">
        <v>1.2017E-2</v>
      </c>
      <c r="L450" s="179">
        <v>0</v>
      </c>
      <c r="M450" s="180">
        <f>K450/(1-'Sac Parametreleri'!$B$29)</f>
        <v>1.5230671736375158E-2</v>
      </c>
      <c r="N450" s="180">
        <f t="shared" ref="N450:N513" si="32">MAX(M450-K450,0)</f>
        <v>3.2136717363751583E-3</v>
      </c>
      <c r="O450" s="138">
        <f t="shared" ref="O450:O513" si="33">IF(M450=0,0,N450/M450)</f>
        <v>0.21099999999999999</v>
      </c>
      <c r="P450" s="181">
        <f>IF(E450="Hardox 450",INDEX('Sac Parametreleri'!$G$11:$G$24,MATCH(F450,'Sac Parametreleri'!$A$11:$A$24,0)),INDEX('Sac Parametreleri'!$E$11:$E$24,MATCH(F450,'Sac Parametreleri'!$A$11:$A$24,0)))</f>
        <v>37.68</v>
      </c>
      <c r="Q450" s="181">
        <f>INDEX('Sac Parametreleri'!$F$11:$F$24,MATCH(F450,'Sac Parametreleri'!$A$11:$A$24,0))</f>
        <v>15.414545454545452</v>
      </c>
      <c r="R450" s="182">
        <f t="shared" ref="R450:R513" si="34">(K450+N450)*P450-N450*Q450</f>
        <v>0.52435442197027304</v>
      </c>
      <c r="S450" s="182">
        <f t="shared" ref="S450:S513" si="35">R450*G450</f>
        <v>0.52435442197027304</v>
      </c>
      <c r="T450" s="139">
        <f>K450*F450*'Sac Parametreleri'!$B$6*G450</f>
        <v>0.56600070000000002</v>
      </c>
      <c r="U450" s="139">
        <f>N450*F450*'Sac Parametreleri'!$B$6*G450</f>
        <v>0.15136393878326995</v>
      </c>
      <c r="V450" s="139">
        <f>M450*F450*'Sac Parametreleri'!$B$6*G450</f>
        <v>0.71736463878326995</v>
      </c>
      <c r="W450" s="135" t="s">
        <v>1520</v>
      </c>
    </row>
    <row r="451" spans="1:24" ht="15" customHeight="1" x14ac:dyDescent="0.25">
      <c r="A451" s="135" t="s">
        <v>514</v>
      </c>
      <c r="B451" s="135">
        <v>1</v>
      </c>
      <c r="C451" s="135" t="s">
        <v>769</v>
      </c>
      <c r="D451" s="135" t="s">
        <v>749</v>
      </c>
      <c r="E451" s="135" t="s">
        <v>1552</v>
      </c>
      <c r="F451" s="135">
        <v>6</v>
      </c>
      <c r="G451" s="135">
        <v>1</v>
      </c>
      <c r="H451" s="135" t="s">
        <v>1746</v>
      </c>
      <c r="I451" s="178"/>
      <c r="J451" s="178"/>
      <c r="K451" s="179">
        <v>3.0594E-2</v>
      </c>
      <c r="L451" s="179">
        <v>0</v>
      </c>
      <c r="M451" s="180">
        <f>K451/(1-'Sac Parametreleri'!$B$29)</f>
        <v>3.8775665399239545E-2</v>
      </c>
      <c r="N451" s="180">
        <f t="shared" si="32"/>
        <v>8.1816653992395454E-3</v>
      </c>
      <c r="O451" s="138">
        <f t="shared" si="33"/>
        <v>0.21100000000000005</v>
      </c>
      <c r="P451" s="181">
        <f>IF(E451="Hardox 450",INDEX('Sac Parametreleri'!$G$11:$G$24,MATCH(F451,'Sac Parametreleri'!$A$11:$A$24,0)),INDEX('Sac Parametreleri'!$E$11:$E$24,MATCH(F451,'Sac Parametreleri'!$A$11:$A$24,0)))</f>
        <v>37.68</v>
      </c>
      <c r="Q451" s="181">
        <f>INDEX('Sac Parametreleri'!$F$11:$F$24,MATCH(F451,'Sac Parametreleri'!$A$11:$A$24,0))</f>
        <v>15.414545454545452</v>
      </c>
      <c r="R451" s="182">
        <f t="shared" si="34"/>
        <v>1.3349504190528863</v>
      </c>
      <c r="S451" s="182">
        <f t="shared" si="35"/>
        <v>1.3349504190528863</v>
      </c>
      <c r="T451" s="139">
        <f>K451*F451*'Sac Parametreleri'!$B$6*G451</f>
        <v>1.4409774</v>
      </c>
      <c r="U451" s="139">
        <f>N451*F451*'Sac Parametreleri'!$B$6*G451</f>
        <v>0.38535644030418259</v>
      </c>
      <c r="V451" s="139">
        <f>M451*F451*'Sac Parametreleri'!$B$6*G451</f>
        <v>1.8263338403041824</v>
      </c>
      <c r="W451" s="135" t="s">
        <v>1520</v>
      </c>
    </row>
    <row r="452" spans="1:24" ht="15" customHeight="1" x14ac:dyDescent="0.25">
      <c r="A452" s="135" t="s">
        <v>514</v>
      </c>
      <c r="B452" s="135">
        <v>2</v>
      </c>
      <c r="C452" s="135" t="s">
        <v>770</v>
      </c>
      <c r="D452" s="135" t="s">
        <v>749</v>
      </c>
      <c r="E452" s="135" t="s">
        <v>1552</v>
      </c>
      <c r="F452" s="135">
        <v>6</v>
      </c>
      <c r="G452" s="135">
        <v>2</v>
      </c>
      <c r="H452" s="135" t="s">
        <v>1765</v>
      </c>
      <c r="I452" s="178"/>
      <c r="J452" s="178"/>
      <c r="K452" s="179">
        <v>5.4990000000000004E-3</v>
      </c>
      <c r="L452" s="179">
        <v>0</v>
      </c>
      <c r="M452" s="180">
        <f>K452/(1-'Sac Parametreleri'!$B$29)</f>
        <v>6.96958174904943E-3</v>
      </c>
      <c r="N452" s="180">
        <f t="shared" si="32"/>
        <v>1.4705817490494296E-3</v>
      </c>
      <c r="O452" s="138">
        <f t="shared" si="33"/>
        <v>0.21099999999999997</v>
      </c>
      <c r="P452" s="181">
        <f>IF(E452="Hardox 450",INDEX('Sac Parametreleri'!$G$11:$G$24,MATCH(F452,'Sac Parametreleri'!$A$11:$A$24,0)),INDEX('Sac Parametreleri'!$E$11:$E$24,MATCH(F452,'Sac Parametreleri'!$A$11:$A$24,0)))</f>
        <v>37.68</v>
      </c>
      <c r="Q452" s="181">
        <f>INDEX('Sac Parametreleri'!$F$11:$F$24,MATCH(F452,'Sac Parametreleri'!$A$11:$A$24,0))</f>
        <v>15.414545454545452</v>
      </c>
      <c r="R452" s="182">
        <f t="shared" si="34"/>
        <v>0.23994549108883512</v>
      </c>
      <c r="S452" s="182">
        <f t="shared" si="35"/>
        <v>0.47989098217767023</v>
      </c>
      <c r="T452" s="139">
        <f>K452*F452*'Sac Parametreleri'!$B$6*G452</f>
        <v>0.51800579999999996</v>
      </c>
      <c r="U452" s="139">
        <f>N452*F452*'Sac Parametreleri'!$B$6*G452</f>
        <v>0.13852880076045626</v>
      </c>
      <c r="V452" s="139">
        <f>M452*F452*'Sac Parametreleri'!$B$6*G452</f>
        <v>0.65653460076045633</v>
      </c>
      <c r="W452" s="135" t="s">
        <v>1520</v>
      </c>
    </row>
    <row r="453" spans="1:24" ht="15" customHeight="1" x14ac:dyDescent="0.25">
      <c r="A453" s="135" t="s">
        <v>558</v>
      </c>
      <c r="B453" s="135">
        <v>2</v>
      </c>
      <c r="C453" s="135" t="s">
        <v>765</v>
      </c>
      <c r="D453" s="135" t="s">
        <v>766</v>
      </c>
      <c r="E453" s="135" t="s">
        <v>1552</v>
      </c>
      <c r="F453" s="135">
        <v>10</v>
      </c>
      <c r="G453" s="135">
        <v>1</v>
      </c>
      <c r="H453" s="135" t="s">
        <v>1765</v>
      </c>
      <c r="I453" s="178"/>
      <c r="J453" s="178"/>
      <c r="K453" s="179">
        <v>1.158E-2</v>
      </c>
      <c r="L453" s="179">
        <v>0</v>
      </c>
      <c r="M453" s="180">
        <f>K453/(1-'Sac Parametreleri'!$B$29)</f>
        <v>1.467680608365019E-2</v>
      </c>
      <c r="N453" s="180">
        <f t="shared" si="32"/>
        <v>3.0968060836501898E-3</v>
      </c>
      <c r="O453" s="138">
        <f t="shared" si="33"/>
        <v>0.21099999999999999</v>
      </c>
      <c r="P453" s="181">
        <f>IF(E453="Hardox 450",INDEX('Sac Parametreleri'!$G$11:$G$24,MATCH(F453,'Sac Parametreleri'!$A$11:$A$24,0)),INDEX('Sac Parametreleri'!$E$11:$E$24,MATCH(F453,'Sac Parametreleri'!$A$11:$A$24,0)))</f>
        <v>62.800000000000004</v>
      </c>
      <c r="Q453" s="181">
        <f>INDEX('Sac Parametreleri'!$F$11:$F$24,MATCH(F453,'Sac Parametreleri'!$A$11:$A$24,0))</f>
        <v>25.690909090909091</v>
      </c>
      <c r="R453" s="182">
        <f t="shared" si="34"/>
        <v>0.8421436584860007</v>
      </c>
      <c r="S453" s="182">
        <f t="shared" si="35"/>
        <v>0.8421436584860007</v>
      </c>
      <c r="T453" s="139">
        <f>K453*F453*'Sac Parametreleri'!$B$6*G453</f>
        <v>0.90903</v>
      </c>
      <c r="U453" s="139">
        <f>N453*F453*'Sac Parametreleri'!$B$6*G453</f>
        <v>0.24309927756653987</v>
      </c>
      <c r="V453" s="139">
        <f>M453*F453*'Sac Parametreleri'!$B$6*G453</f>
        <v>1.1521292775665399</v>
      </c>
      <c r="W453" s="135" t="s">
        <v>1520</v>
      </c>
    </row>
    <row r="454" spans="1:24" ht="15" customHeight="1" x14ac:dyDescent="0.25">
      <c r="A454" s="135" t="s">
        <v>558</v>
      </c>
      <c r="B454" s="135">
        <v>3</v>
      </c>
      <c r="C454" s="135" t="s">
        <v>1937</v>
      </c>
      <c r="D454" s="135" t="s">
        <v>1938</v>
      </c>
      <c r="E454" s="135" t="s">
        <v>1552</v>
      </c>
      <c r="F454" s="135">
        <v>10</v>
      </c>
      <c r="G454" s="135">
        <v>1</v>
      </c>
      <c r="H454" s="135" t="s">
        <v>1742</v>
      </c>
      <c r="I454" s="178"/>
      <c r="J454" s="178"/>
      <c r="K454" s="179">
        <v>5.2230000000000002E-3</v>
      </c>
      <c r="L454" s="179">
        <v>0</v>
      </c>
      <c r="M454" s="180">
        <f>K454/(1-'Sac Parametreleri'!$B$27)</f>
        <v>6.3695121951219506E-3</v>
      </c>
      <c r="N454" s="180">
        <f t="shared" si="32"/>
        <v>1.1465121951219504E-3</v>
      </c>
      <c r="O454" s="138">
        <f t="shared" si="33"/>
        <v>0.17999999999999988</v>
      </c>
      <c r="P454" s="181">
        <f>IF(E454="Hardox 450",INDEX('Sac Parametreleri'!$G$11:$G$24,MATCH(F454,'Sac Parametreleri'!$A$11:$A$24,0)),INDEX('Sac Parametreleri'!$E$11:$E$24,MATCH(F454,'Sac Parametreleri'!$A$11:$A$24,0)))</f>
        <v>62.800000000000004</v>
      </c>
      <c r="Q454" s="181">
        <f>INDEX('Sac Parametreleri'!$F$11:$F$24,MATCH(F454,'Sac Parametreleri'!$A$11:$A$24,0))</f>
        <v>25.690909090909091</v>
      </c>
      <c r="R454" s="182">
        <f t="shared" si="34"/>
        <v>0.37055042527716187</v>
      </c>
      <c r="S454" s="182">
        <f t="shared" si="35"/>
        <v>0.37055042527716187</v>
      </c>
      <c r="T454" s="139">
        <f>K454*F454*'Sac Parametreleri'!$B$6*G454</f>
        <v>0.41000549999999997</v>
      </c>
      <c r="U454" s="139">
        <f>N454*F454*'Sac Parametreleri'!$B$6*G454</f>
        <v>9.0001207317073104E-2</v>
      </c>
      <c r="V454" s="139">
        <f>M454*F454*'Sac Parametreleri'!$B$6*G454</f>
        <v>0.5000067073170732</v>
      </c>
      <c r="W454" s="135" t="s">
        <v>1520</v>
      </c>
    </row>
    <row r="455" spans="1:24" ht="15" customHeight="1" x14ac:dyDescent="0.25">
      <c r="A455" s="135" t="s">
        <v>515</v>
      </c>
      <c r="B455" s="135">
        <v>1</v>
      </c>
      <c r="C455" s="135" t="s">
        <v>796</v>
      </c>
      <c r="D455" s="135" t="s">
        <v>749</v>
      </c>
      <c r="E455" s="135" t="s">
        <v>1552</v>
      </c>
      <c r="F455" s="135">
        <v>6</v>
      </c>
      <c r="G455" s="135">
        <v>1</v>
      </c>
      <c r="H455" s="135" t="s">
        <v>1746</v>
      </c>
      <c r="I455" s="178"/>
      <c r="J455" s="178"/>
      <c r="K455" s="179">
        <v>2.5732000000000001E-2</v>
      </c>
      <c r="L455" s="179">
        <v>0</v>
      </c>
      <c r="M455" s="180">
        <f>K455/(1-'Sac Parametreleri'!$B$29)</f>
        <v>3.2613434727503166E-2</v>
      </c>
      <c r="N455" s="180">
        <f t="shared" si="32"/>
        <v>6.8814347275031641E-3</v>
      </c>
      <c r="O455" s="138">
        <f t="shared" si="33"/>
        <v>0.21099999999999988</v>
      </c>
      <c r="P455" s="181">
        <f>IF(E455="Hardox 450",INDEX('Sac Parametreleri'!$G$11:$G$24,MATCH(F455,'Sac Parametreleri'!$A$11:$A$24,0)),INDEX('Sac Parametreleri'!$E$11:$E$24,MATCH(F455,'Sac Parametreleri'!$A$11:$A$24,0)))</f>
        <v>37.68</v>
      </c>
      <c r="Q455" s="181">
        <f>INDEX('Sac Parametreleri'!$F$11:$F$24,MATCH(F455,'Sac Parametreleri'!$A$11:$A$24,0))</f>
        <v>15.414545454545452</v>
      </c>
      <c r="R455" s="182">
        <f t="shared" si="34"/>
        <v>1.1228000321327343</v>
      </c>
      <c r="S455" s="182">
        <f t="shared" si="35"/>
        <v>1.1228000321327343</v>
      </c>
      <c r="T455" s="139">
        <f>K455*F455*'Sac Parametreleri'!$B$6*G455</f>
        <v>1.2119772</v>
      </c>
      <c r="U455" s="139">
        <f>N455*F455*'Sac Parametreleri'!$B$6*G455</f>
        <v>0.324115575665399</v>
      </c>
      <c r="V455" s="139">
        <f>M455*F455*'Sac Parametreleri'!$B$6*G455</f>
        <v>1.536092775665399</v>
      </c>
      <c r="W455" s="135" t="s">
        <v>1520</v>
      </c>
    </row>
    <row r="456" spans="1:24" ht="15" customHeight="1" x14ac:dyDescent="0.25">
      <c r="A456" s="135" t="s">
        <v>515</v>
      </c>
      <c r="B456" s="135">
        <v>2</v>
      </c>
      <c r="C456" s="135" t="s">
        <v>797</v>
      </c>
      <c r="D456" s="135" t="s">
        <v>774</v>
      </c>
      <c r="E456" s="135" t="s">
        <v>1552</v>
      </c>
      <c r="F456" s="135">
        <v>6</v>
      </c>
      <c r="G456" s="135">
        <v>2</v>
      </c>
      <c r="H456" s="135" t="s">
        <v>1765</v>
      </c>
      <c r="I456" s="178"/>
      <c r="J456" s="178"/>
      <c r="K456" s="179">
        <v>6.5820000000000002E-3</v>
      </c>
      <c r="L456" s="179">
        <v>0</v>
      </c>
      <c r="M456" s="180">
        <f>K456/(1-'Sac Parametreleri'!$B$29)</f>
        <v>8.3422053231939162E-3</v>
      </c>
      <c r="N456" s="180">
        <f t="shared" si="32"/>
        <v>1.760205323193916E-3</v>
      </c>
      <c r="O456" s="138">
        <f t="shared" si="33"/>
        <v>0.21099999999999997</v>
      </c>
      <c r="P456" s="181">
        <f>IF(E456="Hardox 450",INDEX('Sac Parametreleri'!$G$11:$G$24,MATCH(F456,'Sac Parametreleri'!$A$11:$A$24,0)),INDEX('Sac Parametreleri'!$E$11:$E$24,MATCH(F456,'Sac Parametreleri'!$A$11:$A$24,0)))</f>
        <v>37.68</v>
      </c>
      <c r="Q456" s="181">
        <f>INDEX('Sac Parametreleri'!$F$11:$F$24,MATCH(F456,'Sac Parametreleri'!$A$11:$A$24,0))</f>
        <v>15.414545454545452</v>
      </c>
      <c r="R456" s="182">
        <f t="shared" si="34"/>
        <v>0.28720153161424128</v>
      </c>
      <c r="S456" s="182">
        <f t="shared" si="35"/>
        <v>0.57440306322848256</v>
      </c>
      <c r="T456" s="139">
        <f>K456*F456*'Sac Parametreleri'!$B$6*G456</f>
        <v>0.62002439999999992</v>
      </c>
      <c r="U456" s="139">
        <f>N456*F456*'Sac Parametreleri'!$B$6*G456</f>
        <v>0.16581134144486687</v>
      </c>
      <c r="V456" s="139">
        <f>M456*F456*'Sac Parametreleri'!$B$6*G456</f>
        <v>0.7858357414448669</v>
      </c>
      <c r="W456" s="135" t="s">
        <v>1520</v>
      </c>
    </row>
    <row r="457" spans="1:24" ht="15" customHeight="1" x14ac:dyDescent="0.25">
      <c r="A457" s="135" t="s">
        <v>475</v>
      </c>
      <c r="B457" s="135">
        <v>1</v>
      </c>
      <c r="C457" s="135" t="s">
        <v>1939</v>
      </c>
      <c r="D457" s="135" t="s">
        <v>1940</v>
      </c>
      <c r="E457" s="135" t="s">
        <v>1552</v>
      </c>
      <c r="F457" s="135">
        <v>12</v>
      </c>
      <c r="G457" s="135">
        <v>1</v>
      </c>
      <c r="H457" s="135" t="s">
        <v>1742</v>
      </c>
      <c r="I457" s="178"/>
      <c r="J457" s="178"/>
      <c r="K457" s="179">
        <v>1.0011000000000001E-2</v>
      </c>
      <c r="L457" s="179">
        <v>0</v>
      </c>
      <c r="M457" s="180">
        <f>K457/(1-'Sac Parametreleri'!$B$27)</f>
        <v>1.2208536585365854E-2</v>
      </c>
      <c r="N457" s="180">
        <f t="shared" si="32"/>
        <v>2.1975365853658529E-3</v>
      </c>
      <c r="O457" s="138">
        <f t="shared" si="33"/>
        <v>0.17999999999999994</v>
      </c>
      <c r="P457" s="181">
        <f>IF(E457="Hardox 450",INDEX('Sac Parametreleri'!$G$11:$G$24,MATCH(F457,'Sac Parametreleri'!$A$11:$A$24,0)),INDEX('Sac Parametreleri'!$E$11:$E$24,MATCH(F457,'Sac Parametreleri'!$A$11:$A$24,0)))</f>
        <v>75.36</v>
      </c>
      <c r="Q457" s="181">
        <f>INDEX('Sac Parametreleri'!$F$11:$F$24,MATCH(F457,'Sac Parametreleri'!$A$11:$A$24,0))</f>
        <v>30.829090909090905</v>
      </c>
      <c r="R457" s="182">
        <f t="shared" si="34"/>
        <v>0.85228726190687365</v>
      </c>
      <c r="S457" s="182">
        <f t="shared" si="35"/>
        <v>0.85228726190687365</v>
      </c>
      <c r="T457" s="139">
        <f>K457*F457*'Sac Parametreleri'!$B$6*G457</f>
        <v>0.9430362000000001</v>
      </c>
      <c r="U457" s="139">
        <f>N457*F457*'Sac Parametreleri'!$B$6*G457</f>
        <v>0.20700794634146333</v>
      </c>
      <c r="V457" s="139">
        <f>M457*F457*'Sac Parametreleri'!$B$6*G457</f>
        <v>1.1500441463414635</v>
      </c>
      <c r="W457" s="135" t="s">
        <v>1520</v>
      </c>
    </row>
    <row r="458" spans="1:24" ht="15" customHeight="1" x14ac:dyDescent="0.25">
      <c r="A458" s="135" t="s">
        <v>475</v>
      </c>
      <c r="B458" s="135">
        <v>2</v>
      </c>
      <c r="C458" s="135" t="s">
        <v>1941</v>
      </c>
      <c r="D458" s="135" t="s">
        <v>1940</v>
      </c>
      <c r="E458" s="135" t="s">
        <v>1552</v>
      </c>
      <c r="F458" s="135">
        <v>10</v>
      </c>
      <c r="G458" s="135">
        <v>2</v>
      </c>
      <c r="H458" s="135" t="s">
        <v>1742</v>
      </c>
      <c r="I458" s="178"/>
      <c r="J458" s="178"/>
      <c r="K458" s="179">
        <v>5.2230000000000002E-3</v>
      </c>
      <c r="L458" s="179">
        <v>0</v>
      </c>
      <c r="M458" s="180">
        <f>K458/(1-'Sac Parametreleri'!$B$27)</f>
        <v>6.3695121951219506E-3</v>
      </c>
      <c r="N458" s="180">
        <f t="shared" si="32"/>
        <v>1.1465121951219504E-3</v>
      </c>
      <c r="O458" s="138">
        <f t="shared" si="33"/>
        <v>0.17999999999999988</v>
      </c>
      <c r="P458" s="181">
        <f>IF(E458="Hardox 450",INDEX('Sac Parametreleri'!$G$11:$G$24,MATCH(F458,'Sac Parametreleri'!$A$11:$A$24,0)),INDEX('Sac Parametreleri'!$E$11:$E$24,MATCH(F458,'Sac Parametreleri'!$A$11:$A$24,0)))</f>
        <v>62.800000000000004</v>
      </c>
      <c r="Q458" s="181">
        <f>INDEX('Sac Parametreleri'!$F$11:$F$24,MATCH(F458,'Sac Parametreleri'!$A$11:$A$24,0))</f>
        <v>25.690909090909091</v>
      </c>
      <c r="R458" s="182">
        <f t="shared" si="34"/>
        <v>0.37055042527716187</v>
      </c>
      <c r="S458" s="182">
        <f t="shared" si="35"/>
        <v>0.74110085055432373</v>
      </c>
      <c r="T458" s="139">
        <f>K458*F458*'Sac Parametreleri'!$B$6*G458</f>
        <v>0.82001099999999993</v>
      </c>
      <c r="U458" s="139">
        <f>N458*F458*'Sac Parametreleri'!$B$6*G458</f>
        <v>0.18000241463414621</v>
      </c>
      <c r="V458" s="139">
        <f>M458*F458*'Sac Parametreleri'!$B$6*G458</f>
        <v>1.0000134146341464</v>
      </c>
      <c r="W458" s="135" t="s">
        <v>1520</v>
      </c>
    </row>
    <row r="459" spans="1:24" ht="15" customHeight="1" x14ac:dyDescent="0.25">
      <c r="A459" s="135" t="s">
        <v>546</v>
      </c>
      <c r="B459" s="135">
        <v>1</v>
      </c>
      <c r="C459" s="135" t="s">
        <v>891</v>
      </c>
      <c r="D459" s="135" t="s">
        <v>892</v>
      </c>
      <c r="E459" s="135" t="s">
        <v>1552</v>
      </c>
      <c r="F459" s="135">
        <v>6</v>
      </c>
      <c r="G459" s="135">
        <v>1</v>
      </c>
      <c r="H459" s="135" t="s">
        <v>1746</v>
      </c>
      <c r="I459" s="178"/>
      <c r="J459" s="178"/>
      <c r="K459" s="179">
        <v>2.8216999999999999E-2</v>
      </c>
      <c r="L459" s="179">
        <v>0</v>
      </c>
      <c r="M459" s="180">
        <f>K459/(1-'Sac Parametreleri'!$B$29)</f>
        <v>3.5762991128010138E-2</v>
      </c>
      <c r="N459" s="180">
        <f t="shared" si="32"/>
        <v>7.5459911280101391E-3</v>
      </c>
      <c r="O459" s="138">
        <f t="shared" si="33"/>
        <v>0.21099999999999999</v>
      </c>
      <c r="P459" s="181">
        <f>IF(E459="Hardox 450",INDEX('Sac Parametreleri'!$G$11:$G$24,MATCH(F459,'Sac Parametreleri'!$A$11:$A$24,0)),INDEX('Sac Parametreleri'!$E$11:$E$24,MATCH(F459,'Sac Parametreleri'!$A$11:$A$24,0)))</f>
        <v>37.68</v>
      </c>
      <c r="Q459" s="181">
        <f>INDEX('Sac Parametreleri'!$F$11:$F$24,MATCH(F459,'Sac Parametreleri'!$A$11:$A$24,0))</f>
        <v>15.414545454545452</v>
      </c>
      <c r="R459" s="182">
        <f t="shared" si="34"/>
        <v>1.231231482461113</v>
      </c>
      <c r="S459" s="182">
        <f t="shared" si="35"/>
        <v>1.231231482461113</v>
      </c>
      <c r="T459" s="139">
        <f>K459*F459*'Sac Parametreleri'!$B$6*G459</f>
        <v>1.3290207000000001</v>
      </c>
      <c r="U459" s="139">
        <f>N459*F459*'Sac Parametreleri'!$B$6*G459</f>
        <v>0.35541618212927756</v>
      </c>
      <c r="V459" s="139">
        <f>M459*F459*'Sac Parametreleri'!$B$6*G459</f>
        <v>1.6844368821292774</v>
      </c>
      <c r="W459" s="135" t="s">
        <v>1520</v>
      </c>
    </row>
    <row r="460" spans="1:24" ht="15" customHeight="1" x14ac:dyDescent="0.25">
      <c r="A460" s="135" t="s">
        <v>546</v>
      </c>
      <c r="B460" s="135">
        <v>2</v>
      </c>
      <c r="C460" s="135" t="s">
        <v>1942</v>
      </c>
      <c r="D460" s="135" t="s">
        <v>1936</v>
      </c>
      <c r="E460" s="135" t="s">
        <v>1552</v>
      </c>
      <c r="F460" s="135">
        <v>6</v>
      </c>
      <c r="G460" s="135">
        <v>2</v>
      </c>
      <c r="H460" s="135" t="s">
        <v>1742</v>
      </c>
      <c r="I460" s="178"/>
      <c r="J460" s="178"/>
      <c r="K460" s="179">
        <v>4.2680000000000001E-3</v>
      </c>
      <c r="L460" s="179">
        <v>0</v>
      </c>
      <c r="M460" s="180">
        <f>K460/(1-'Sac Parametreleri'!$B$27)</f>
        <v>5.2048780487804879E-3</v>
      </c>
      <c r="N460" s="180">
        <f t="shared" si="32"/>
        <v>9.3687804878048783E-4</v>
      </c>
      <c r="O460" s="138">
        <f t="shared" si="33"/>
        <v>0.18</v>
      </c>
      <c r="P460" s="181">
        <f>IF(E460="Hardox 450",INDEX('Sac Parametreleri'!$G$11:$G$24,MATCH(F460,'Sac Parametreleri'!$A$11:$A$24,0)),INDEX('Sac Parametreleri'!$E$11:$E$24,MATCH(F460,'Sac Parametreleri'!$A$11:$A$24,0)))</f>
        <v>37.68</v>
      </c>
      <c r="Q460" s="181">
        <f>INDEX('Sac Parametreleri'!$F$11:$F$24,MATCH(F460,'Sac Parametreleri'!$A$11:$A$24,0))</f>
        <v>15.414545454545452</v>
      </c>
      <c r="R460" s="182">
        <f t="shared" si="34"/>
        <v>0.18167825560975609</v>
      </c>
      <c r="S460" s="182">
        <f t="shared" si="35"/>
        <v>0.36335651121951218</v>
      </c>
      <c r="T460" s="139">
        <f>K460*F460*'Sac Parametreleri'!$B$6*G460</f>
        <v>0.40204559999999995</v>
      </c>
      <c r="U460" s="139">
        <f>N460*F460*'Sac Parametreleri'!$B$6*G460</f>
        <v>8.825391219512195E-2</v>
      </c>
      <c r="V460" s="139">
        <f>M460*F460*'Sac Parametreleri'!$B$6*G460</f>
        <v>0.49029951219512197</v>
      </c>
      <c r="W460" s="135" t="s">
        <v>1520</v>
      </c>
    </row>
    <row r="461" spans="1:24" ht="15" customHeight="1" x14ac:dyDescent="0.25">
      <c r="A461" s="135" t="s">
        <v>520</v>
      </c>
      <c r="B461" s="135">
        <v>1</v>
      </c>
      <c r="C461" s="135" t="s">
        <v>946</v>
      </c>
      <c r="D461" s="135" t="s">
        <v>947</v>
      </c>
      <c r="E461" s="135" t="s">
        <v>1552</v>
      </c>
      <c r="F461" s="135">
        <v>6</v>
      </c>
      <c r="G461" s="135">
        <v>1</v>
      </c>
      <c r="H461" s="135" t="s">
        <v>1746</v>
      </c>
      <c r="I461" s="178"/>
      <c r="J461" s="178"/>
      <c r="K461" s="179">
        <v>2.5371999999999999E-2</v>
      </c>
      <c r="L461" s="179">
        <v>0</v>
      </c>
      <c r="M461" s="180">
        <f>K461/(1-'Sac Parametreleri'!$B$29)</f>
        <v>3.2157160963244613E-2</v>
      </c>
      <c r="N461" s="180">
        <f t="shared" si="32"/>
        <v>6.7851609632446144E-3</v>
      </c>
      <c r="O461" s="138">
        <f t="shared" si="33"/>
        <v>0.21100000000000002</v>
      </c>
      <c r="P461" s="181">
        <f>IF(E461="Hardox 450",INDEX('Sac Parametreleri'!$G$11:$G$24,MATCH(F461,'Sac Parametreleri'!$A$11:$A$24,0)),INDEX('Sac Parametreleri'!$E$11:$E$24,MATCH(F461,'Sac Parametreleri'!$A$11:$A$24,0)))</f>
        <v>37.68</v>
      </c>
      <c r="Q461" s="181">
        <f>INDEX('Sac Parametreleri'!$F$11:$F$24,MATCH(F461,'Sac Parametreleri'!$A$11:$A$24,0))</f>
        <v>15.414545454545452</v>
      </c>
      <c r="R461" s="182">
        <f t="shared" si="34"/>
        <v>1.1070916530107153</v>
      </c>
      <c r="S461" s="182">
        <f t="shared" si="35"/>
        <v>1.1070916530107153</v>
      </c>
      <c r="T461" s="139">
        <f>K461*F461*'Sac Parametreleri'!$B$6*G461</f>
        <v>1.1950211999999998</v>
      </c>
      <c r="U461" s="139">
        <f>N461*F461*'Sac Parametreleri'!$B$6*G461</f>
        <v>0.31958108136882135</v>
      </c>
      <c r="V461" s="139">
        <f>M461*F461*'Sac Parametreleri'!$B$6*G461</f>
        <v>1.5146022813688211</v>
      </c>
      <c r="W461" s="135" t="s">
        <v>1520</v>
      </c>
    </row>
    <row r="462" spans="1:24" ht="15" customHeight="1" x14ac:dyDescent="0.25">
      <c r="A462" s="135" t="s">
        <v>520</v>
      </c>
      <c r="B462" s="135">
        <v>2</v>
      </c>
      <c r="C462" s="135" t="s">
        <v>1943</v>
      </c>
      <c r="D462" s="135" t="s">
        <v>1944</v>
      </c>
      <c r="E462" s="135" t="s">
        <v>1552</v>
      </c>
      <c r="F462" s="135">
        <v>6</v>
      </c>
      <c r="G462" s="135">
        <v>2</v>
      </c>
      <c r="H462" s="135" t="s">
        <v>1742</v>
      </c>
      <c r="I462" s="178"/>
      <c r="J462" s="178"/>
      <c r="K462" s="179">
        <v>5.8170000000000001E-3</v>
      </c>
      <c r="L462" s="179">
        <v>0</v>
      </c>
      <c r="M462" s="180">
        <f>K462/(1-'Sac Parametreleri'!$B$27)</f>
        <v>7.0939024390243898E-3</v>
      </c>
      <c r="N462" s="180">
        <f t="shared" si="32"/>
        <v>1.2769024390243897E-3</v>
      </c>
      <c r="O462" s="138">
        <f t="shared" si="33"/>
        <v>0.17999999999999994</v>
      </c>
      <c r="P462" s="181">
        <f>IF(E462="Hardox 450",INDEX('Sac Parametreleri'!$G$11:$G$24,MATCH(F462,'Sac Parametreleri'!$A$11:$A$24,0)),INDEX('Sac Parametreleri'!$E$11:$E$24,MATCH(F462,'Sac Parametreleri'!$A$11:$A$24,0)))</f>
        <v>37.68</v>
      </c>
      <c r="Q462" s="181">
        <f>INDEX('Sac Parametreleri'!$F$11:$F$24,MATCH(F462,'Sac Parametreleri'!$A$11:$A$24,0))</f>
        <v>15.414545454545452</v>
      </c>
      <c r="R462" s="182">
        <f t="shared" si="34"/>
        <v>0.24761537321507759</v>
      </c>
      <c r="S462" s="182">
        <f t="shared" si="35"/>
        <v>0.49523074643015519</v>
      </c>
      <c r="T462" s="139">
        <f>K462*F462*'Sac Parametreleri'!$B$6*G462</f>
        <v>0.54796140000000004</v>
      </c>
      <c r="U462" s="139">
        <f>N462*F462*'Sac Parametreleri'!$B$6*G462</f>
        <v>0.12028420975609751</v>
      </c>
      <c r="V462" s="139">
        <f>M462*F462*'Sac Parametreleri'!$B$6*G462</f>
        <v>0.66824560975609748</v>
      </c>
      <c r="W462" s="135" t="s">
        <v>1520</v>
      </c>
    </row>
    <row r="463" spans="1:24" ht="21.75" customHeight="1" x14ac:dyDescent="0.25">
      <c r="A463" s="135" t="s">
        <v>624</v>
      </c>
      <c r="B463" s="135">
        <v>1</v>
      </c>
      <c r="C463" s="135" t="s">
        <v>825</v>
      </c>
      <c r="D463" s="135" t="s">
        <v>774</v>
      </c>
      <c r="E463" s="135" t="s">
        <v>1552</v>
      </c>
      <c r="F463" s="135">
        <v>8</v>
      </c>
      <c r="G463" s="135">
        <v>1</v>
      </c>
      <c r="H463" s="135" t="s">
        <v>1739</v>
      </c>
      <c r="I463" s="178">
        <v>200.6</v>
      </c>
      <c r="J463" s="178">
        <v>110</v>
      </c>
      <c r="K463" s="179">
        <v>2.0815E-2</v>
      </c>
      <c r="L463" s="179">
        <v>1.2539999999999999E-3</v>
      </c>
      <c r="M463" s="180">
        <f>I463*J463/1000000</f>
        <v>2.2065999999999999E-2</v>
      </c>
      <c r="N463" s="180">
        <f t="shared" si="32"/>
        <v>1.2509999999999986E-3</v>
      </c>
      <c r="O463" s="138">
        <f t="shared" si="33"/>
        <v>5.6693555696546667E-2</v>
      </c>
      <c r="P463" s="181">
        <f>IF(E463="Hardox 450",INDEX('Sac Parametreleri'!$G$11:$G$24,MATCH(F463,'Sac Parametreleri'!$A$11:$A$24,0)),INDEX('Sac Parametreleri'!$E$11:$E$24,MATCH(F463,'Sac Parametreleri'!$A$11:$A$24,0)))</f>
        <v>50.24</v>
      </c>
      <c r="Q463" s="181">
        <f>INDEX('Sac Parametreleri'!$F$11:$F$24,MATCH(F463,'Sac Parametreleri'!$A$11:$A$24,0))</f>
        <v>20.552727272727271</v>
      </c>
      <c r="R463" s="182">
        <f t="shared" si="34"/>
        <v>1.0828843781818183</v>
      </c>
      <c r="S463" s="182">
        <f t="shared" si="35"/>
        <v>1.0828843781818183</v>
      </c>
      <c r="T463" s="139">
        <f>K463*F463*'Sac Parametreleri'!$B$6*G463</f>
        <v>1.3071819999999998</v>
      </c>
      <c r="U463" s="139">
        <f>N463*F463*'Sac Parametreleri'!$B$6*G463</f>
        <v>7.8562799999999905E-2</v>
      </c>
      <c r="V463" s="139">
        <f>M463*F463*'Sac Parametreleri'!$B$6*G463</f>
        <v>1.3857447999999999</v>
      </c>
      <c r="W463" s="135" t="s">
        <v>1520</v>
      </c>
      <c r="X463" s="183" t="s">
        <v>1945</v>
      </c>
    </row>
    <row r="464" spans="1:24" ht="21.75" customHeight="1" x14ac:dyDescent="0.25">
      <c r="A464" s="135" t="s">
        <v>624</v>
      </c>
      <c r="B464" s="135">
        <v>2</v>
      </c>
      <c r="C464" s="135" t="s">
        <v>1574</v>
      </c>
      <c r="D464" s="135" t="s">
        <v>774</v>
      </c>
      <c r="E464" s="135" t="s">
        <v>1552</v>
      </c>
      <c r="F464" s="135">
        <v>8</v>
      </c>
      <c r="G464" s="135">
        <v>2</v>
      </c>
      <c r="H464" s="135" t="s">
        <v>1739</v>
      </c>
      <c r="I464" s="178">
        <v>82.5</v>
      </c>
      <c r="J464" s="178">
        <v>50</v>
      </c>
      <c r="K464" s="179">
        <v>3.2439999999999999E-3</v>
      </c>
      <c r="L464" s="179">
        <v>3.5399999999999999E-4</v>
      </c>
      <c r="M464" s="180">
        <f>I464*J464/1000000</f>
        <v>4.1250000000000002E-3</v>
      </c>
      <c r="N464" s="180">
        <f t="shared" si="32"/>
        <v>8.8100000000000027E-4</v>
      </c>
      <c r="O464" s="138">
        <f t="shared" si="33"/>
        <v>0.21357575757575764</v>
      </c>
      <c r="P464" s="181">
        <f>IF(E464="Hardox 450",INDEX('Sac Parametreleri'!$G$11:$G$24,MATCH(F464,'Sac Parametreleri'!$A$11:$A$24,0)),INDEX('Sac Parametreleri'!$E$11:$E$24,MATCH(F464,'Sac Parametreleri'!$A$11:$A$24,0)))</f>
        <v>50.24</v>
      </c>
      <c r="Q464" s="181">
        <f>INDEX('Sac Parametreleri'!$F$11:$F$24,MATCH(F464,'Sac Parametreleri'!$A$11:$A$24,0))</f>
        <v>20.552727272727271</v>
      </c>
      <c r="R464" s="182">
        <f t="shared" si="34"/>
        <v>0.18913304727272728</v>
      </c>
      <c r="S464" s="182">
        <f t="shared" si="35"/>
        <v>0.37826609454545457</v>
      </c>
      <c r="T464" s="139">
        <f>K464*F464*'Sac Parametreleri'!$B$6*G464</f>
        <v>0.40744639999999999</v>
      </c>
      <c r="U464" s="139">
        <f>N464*F464*'Sac Parametreleri'!$B$6*G464</f>
        <v>0.11065360000000003</v>
      </c>
      <c r="V464" s="139">
        <f>M464*F464*'Sac Parametreleri'!$B$6*G464</f>
        <v>0.5181</v>
      </c>
      <c r="W464" s="135" t="s">
        <v>1520</v>
      </c>
      <c r="X464" s="183" t="s">
        <v>1945</v>
      </c>
    </row>
    <row r="465" spans="1:23" ht="15" customHeight="1" x14ac:dyDescent="0.25">
      <c r="A465" s="135" t="s">
        <v>504</v>
      </c>
      <c r="B465" s="135">
        <v>1</v>
      </c>
      <c r="C465" s="135" t="s">
        <v>958</v>
      </c>
      <c r="D465" s="135" t="s">
        <v>749</v>
      </c>
      <c r="E465" s="135" t="s">
        <v>1552</v>
      </c>
      <c r="F465" s="135">
        <v>3</v>
      </c>
      <c r="G465" s="135">
        <v>2</v>
      </c>
      <c r="H465" s="135" t="s">
        <v>1746</v>
      </c>
      <c r="I465" s="178"/>
      <c r="J465" s="178"/>
      <c r="K465" s="179">
        <v>4.5440000000000003E-3</v>
      </c>
      <c r="L465" s="179">
        <v>0</v>
      </c>
      <c r="M465" s="180">
        <f>K465/(1-'Sac Parametreleri'!$B$29)</f>
        <v>5.759188846641318E-3</v>
      </c>
      <c r="N465" s="180">
        <f t="shared" si="32"/>
        <v>1.2151888466413177E-3</v>
      </c>
      <c r="O465" s="138">
        <f t="shared" si="33"/>
        <v>0.21099999999999994</v>
      </c>
      <c r="P465" s="181">
        <f>IF(E465="Hardox 450",INDEX('Sac Parametreleri'!$G$11:$G$24,MATCH(F465,'Sac Parametreleri'!$A$11:$A$24,0)),INDEX('Sac Parametreleri'!$E$11:$E$24,MATCH(F465,'Sac Parametreleri'!$A$11:$A$24,0)))</f>
        <v>18.84</v>
      </c>
      <c r="Q465" s="181">
        <f>INDEX('Sac Parametreleri'!$F$11:$F$24,MATCH(F465,'Sac Parametreleri'!$A$11:$A$24,0))</f>
        <v>7.7072727272727262</v>
      </c>
      <c r="R465" s="182">
        <f t="shared" si="34"/>
        <v>9.9137326014517801E-2</v>
      </c>
      <c r="S465" s="182">
        <f t="shared" si="35"/>
        <v>0.1982746520290356</v>
      </c>
      <c r="T465" s="139">
        <f>K465*F465*'Sac Parametreleri'!$B$6*G465</f>
        <v>0.21402240000000003</v>
      </c>
      <c r="U465" s="139">
        <f>N465*F465*'Sac Parametreleri'!$B$6*G465</f>
        <v>5.7235394676806058E-2</v>
      </c>
      <c r="V465" s="139">
        <f>M465*F465*'Sac Parametreleri'!$B$6*G465</f>
        <v>0.27125779467680605</v>
      </c>
      <c r="W465" s="135" t="s">
        <v>1520</v>
      </c>
    </row>
    <row r="466" spans="1:23" ht="15" customHeight="1" x14ac:dyDescent="0.25">
      <c r="A466" s="135" t="s">
        <v>504</v>
      </c>
      <c r="B466" s="135">
        <v>2</v>
      </c>
      <c r="C466" s="135" t="s">
        <v>959</v>
      </c>
      <c r="D466" s="135" t="s">
        <v>749</v>
      </c>
      <c r="E466" s="135" t="s">
        <v>1552</v>
      </c>
      <c r="F466" s="135">
        <v>3</v>
      </c>
      <c r="G466" s="135">
        <v>5</v>
      </c>
      <c r="H466" s="135" t="s">
        <v>1830</v>
      </c>
      <c r="I466" s="178"/>
      <c r="J466" s="178"/>
      <c r="K466" s="179">
        <v>9.214E-3</v>
      </c>
      <c r="L466" s="179">
        <v>0</v>
      </c>
      <c r="M466" s="180">
        <f>K466/(1-'Sac Parametreleri'!$B$29)</f>
        <v>1.1678073510773129E-2</v>
      </c>
      <c r="N466" s="180">
        <f t="shared" si="32"/>
        <v>2.4640735107731293E-3</v>
      </c>
      <c r="O466" s="138">
        <f t="shared" si="33"/>
        <v>0.21099999999999991</v>
      </c>
      <c r="P466" s="181">
        <f>IF(E466="Hardox 450",INDEX('Sac Parametreleri'!$G$11:$G$24,MATCH(F466,'Sac Parametreleri'!$A$11:$A$24,0)),INDEX('Sac Parametreleri'!$E$11:$E$24,MATCH(F466,'Sac Parametreleri'!$A$11:$A$24,0)))</f>
        <v>18.84</v>
      </c>
      <c r="Q466" s="181">
        <f>INDEX('Sac Parametreleri'!$F$11:$F$24,MATCH(F466,'Sac Parametreleri'!$A$11:$A$24,0))</f>
        <v>7.7072727272727262</v>
      </c>
      <c r="R466" s="182">
        <f t="shared" si="34"/>
        <v>0.20102361837538885</v>
      </c>
      <c r="S466" s="182">
        <f t="shared" si="35"/>
        <v>1.0051180918769442</v>
      </c>
      <c r="T466" s="139">
        <f>K466*F466*'Sac Parametreleri'!$B$6*G466</f>
        <v>1.0849484999999999</v>
      </c>
      <c r="U466" s="139">
        <f>N466*F466*'Sac Parametreleri'!$B$6*G466</f>
        <v>0.290144655893536</v>
      </c>
      <c r="V466" s="139">
        <f>M466*F466*'Sac Parametreleri'!$B$6*G466</f>
        <v>1.375093155893536</v>
      </c>
      <c r="W466" s="135" t="s">
        <v>1520</v>
      </c>
    </row>
    <row r="467" spans="1:23" ht="15" customHeight="1" x14ac:dyDescent="0.25">
      <c r="A467" s="135" t="s">
        <v>504</v>
      </c>
      <c r="B467" s="135">
        <v>3</v>
      </c>
      <c r="C467" s="135" t="s">
        <v>1946</v>
      </c>
      <c r="D467" s="135" t="s">
        <v>749</v>
      </c>
      <c r="E467" s="135" t="s">
        <v>1552</v>
      </c>
      <c r="F467" s="135">
        <v>3</v>
      </c>
      <c r="G467" s="135">
        <v>3</v>
      </c>
      <c r="H467" s="135" t="s">
        <v>1742</v>
      </c>
      <c r="I467" s="178"/>
      <c r="J467" s="178"/>
      <c r="K467" s="179">
        <v>4.7559999999999998E-3</v>
      </c>
      <c r="L467" s="179">
        <v>0</v>
      </c>
      <c r="M467" s="180">
        <f>K467/(1-'Sac Parametreleri'!$B$27)</f>
        <v>5.7999999999999996E-3</v>
      </c>
      <c r="N467" s="180">
        <f t="shared" si="32"/>
        <v>1.0439999999999998E-3</v>
      </c>
      <c r="O467" s="138">
        <f t="shared" si="33"/>
        <v>0.17999999999999997</v>
      </c>
      <c r="P467" s="181">
        <f>IF(E467="Hardox 450",INDEX('Sac Parametreleri'!$G$11:$G$24,MATCH(F467,'Sac Parametreleri'!$A$11:$A$24,0)),INDEX('Sac Parametreleri'!$E$11:$E$24,MATCH(F467,'Sac Parametreleri'!$A$11:$A$24,0)))</f>
        <v>18.84</v>
      </c>
      <c r="Q467" s="181">
        <f>INDEX('Sac Parametreleri'!$F$11:$F$24,MATCH(F467,'Sac Parametreleri'!$A$11:$A$24,0))</f>
        <v>7.7072727272727262</v>
      </c>
      <c r="R467" s="182">
        <f t="shared" si="34"/>
        <v>0.10122560727272727</v>
      </c>
      <c r="S467" s="182">
        <f t="shared" si="35"/>
        <v>0.30367682181818179</v>
      </c>
      <c r="T467" s="139">
        <f>K467*F467*'Sac Parametreleri'!$B$6*G467</f>
        <v>0.33601139999999996</v>
      </c>
      <c r="U467" s="139">
        <f>N467*F467*'Sac Parametreleri'!$B$6*G467</f>
        <v>7.375859999999998E-2</v>
      </c>
      <c r="V467" s="139">
        <f>M467*F467*'Sac Parametreleri'!$B$6*G467</f>
        <v>0.40976999999999997</v>
      </c>
      <c r="W467" s="135" t="s">
        <v>1520</v>
      </c>
    </row>
    <row r="468" spans="1:23" ht="15" customHeight="1" x14ac:dyDescent="0.25">
      <c r="A468" s="135" t="s">
        <v>582</v>
      </c>
      <c r="B468" s="135">
        <v>1</v>
      </c>
      <c r="C468" s="135" t="s">
        <v>923</v>
      </c>
      <c r="D468" s="135" t="s">
        <v>924</v>
      </c>
      <c r="E468" s="135" t="s">
        <v>1552</v>
      </c>
      <c r="F468" s="135">
        <v>5</v>
      </c>
      <c r="G468" s="135">
        <v>1</v>
      </c>
      <c r="H468" s="135" t="s">
        <v>1830</v>
      </c>
      <c r="I468" s="178"/>
      <c r="J468" s="178"/>
      <c r="K468" s="179">
        <v>3.3808999999999999E-2</v>
      </c>
      <c r="L468" s="179">
        <v>0</v>
      </c>
      <c r="M468" s="180">
        <f>K468/(1-'Sac Parametreleri'!$B$29)</f>
        <v>4.2850443599493027E-2</v>
      </c>
      <c r="N468" s="180">
        <f t="shared" si="32"/>
        <v>9.0414435994930278E-3</v>
      </c>
      <c r="O468" s="138">
        <f t="shared" si="33"/>
        <v>0.21099999999999999</v>
      </c>
      <c r="P468" s="181">
        <f>IF(E468="Hardox 450",INDEX('Sac Parametreleri'!$G$11:$G$24,MATCH(F468,'Sac Parametreleri'!$A$11:$A$24,0)),INDEX('Sac Parametreleri'!$E$11:$E$24,MATCH(F468,'Sac Parametreleri'!$A$11:$A$24,0)))</f>
        <v>31.400000000000002</v>
      </c>
      <c r="Q468" s="181">
        <f>INDEX('Sac Parametreleri'!$F$11:$F$24,MATCH(F468,'Sac Parametreleri'!$A$11:$A$24,0))</f>
        <v>12.845454545454546</v>
      </c>
      <c r="R468" s="182">
        <f t="shared" si="34"/>
        <v>1.2293624762415025</v>
      </c>
      <c r="S468" s="182">
        <f t="shared" si="35"/>
        <v>1.2293624762415025</v>
      </c>
      <c r="T468" s="139">
        <f>K468*F468*'Sac Parametreleri'!$B$6*G468</f>
        <v>1.32700325</v>
      </c>
      <c r="U468" s="139">
        <f>N468*F468*'Sac Parametreleri'!$B$6*G468</f>
        <v>0.35487666128010131</v>
      </c>
      <c r="V468" s="139">
        <f>M468*F468*'Sac Parametreleri'!$B$6*G468</f>
        <v>1.6818799112801013</v>
      </c>
      <c r="W468" s="135" t="s">
        <v>1520</v>
      </c>
    </row>
    <row r="469" spans="1:23" ht="15" customHeight="1" x14ac:dyDescent="0.25">
      <c r="A469" s="135" t="s">
        <v>582</v>
      </c>
      <c r="B469" s="135">
        <v>2</v>
      </c>
      <c r="C469" s="135" t="s">
        <v>1947</v>
      </c>
      <c r="D469" s="135" t="s">
        <v>1948</v>
      </c>
      <c r="E469" s="135" t="s">
        <v>1552</v>
      </c>
      <c r="F469" s="135">
        <v>4</v>
      </c>
      <c r="G469" s="135">
        <v>1</v>
      </c>
      <c r="H469" s="135" t="s">
        <v>1742</v>
      </c>
      <c r="I469" s="178"/>
      <c r="J469" s="178"/>
      <c r="K469" s="179">
        <v>8.4709999999999994E-3</v>
      </c>
      <c r="L469" s="179">
        <v>0</v>
      </c>
      <c r="M469" s="180">
        <f>K469/(1-'Sac Parametreleri'!$B$27)</f>
        <v>1.0330487804878047E-2</v>
      </c>
      <c r="N469" s="180">
        <f t="shared" si="32"/>
        <v>1.8594878048780478E-3</v>
      </c>
      <c r="O469" s="138">
        <f t="shared" si="33"/>
        <v>0.17999999999999994</v>
      </c>
      <c r="P469" s="181">
        <f>IF(E469="Hardox 450",INDEX('Sac Parametreleri'!$G$11:$G$24,MATCH(F469,'Sac Parametreleri'!$A$11:$A$24,0)),INDEX('Sac Parametreleri'!$E$11:$E$24,MATCH(F469,'Sac Parametreleri'!$A$11:$A$24,0)))</f>
        <v>25.12</v>
      </c>
      <c r="Q469" s="181">
        <f>INDEX('Sac Parametreleri'!$F$11:$F$24,MATCH(F469,'Sac Parametreleri'!$A$11:$A$24,0))</f>
        <v>10.276363636363635</v>
      </c>
      <c r="R469" s="182">
        <f t="shared" si="34"/>
        <v>0.24039308079822616</v>
      </c>
      <c r="S469" s="182">
        <f t="shared" si="35"/>
        <v>0.24039308079822616</v>
      </c>
      <c r="T469" s="139">
        <f>K469*F469*'Sac Parametreleri'!$B$6*G469</f>
        <v>0.26598939999999999</v>
      </c>
      <c r="U469" s="139">
        <f>N469*F469*'Sac Parametreleri'!$B$6*G469</f>
        <v>5.8387917073170696E-2</v>
      </c>
      <c r="V469" s="139">
        <f>M469*F469*'Sac Parametreleri'!$B$6*G469</f>
        <v>0.32437731707317069</v>
      </c>
      <c r="W469" s="135" t="s">
        <v>1520</v>
      </c>
    </row>
    <row r="470" spans="1:23" ht="15" customHeight="1" x14ac:dyDescent="0.25">
      <c r="A470" s="135" t="s">
        <v>532</v>
      </c>
      <c r="B470" s="135">
        <v>1</v>
      </c>
      <c r="C470" s="135" t="s">
        <v>764</v>
      </c>
      <c r="D470" s="135" t="s">
        <v>749</v>
      </c>
      <c r="E470" s="135" t="s">
        <v>1552</v>
      </c>
      <c r="F470" s="135">
        <v>5</v>
      </c>
      <c r="G470" s="135">
        <v>1</v>
      </c>
      <c r="H470" s="135" t="s">
        <v>1746</v>
      </c>
      <c r="I470" s="178"/>
      <c r="J470" s="178"/>
      <c r="K470" s="179">
        <v>3.5159000000000003E-2</v>
      </c>
      <c r="L470" s="179">
        <v>0</v>
      </c>
      <c r="M470" s="180">
        <f>K470/(1-'Sac Parametreleri'!$B$29)</f>
        <v>4.4561470215462612E-2</v>
      </c>
      <c r="N470" s="180">
        <f t="shared" si="32"/>
        <v>9.4024702154626091E-3</v>
      </c>
      <c r="O470" s="138">
        <f t="shared" si="33"/>
        <v>0.21099999999999997</v>
      </c>
      <c r="P470" s="181">
        <f>IF(E470="Hardox 450",INDEX('Sac Parametreleri'!$G$11:$G$24,MATCH(F470,'Sac Parametreleri'!$A$11:$A$24,0)),INDEX('Sac Parametreleri'!$E$11:$E$24,MATCH(F470,'Sac Parametreleri'!$A$11:$A$24,0)))</f>
        <v>31.400000000000002</v>
      </c>
      <c r="Q470" s="181">
        <f>INDEX('Sac Parametreleri'!$F$11:$F$24,MATCH(F470,'Sac Parametreleri'!$A$11:$A$24,0))</f>
        <v>12.845454545454546</v>
      </c>
      <c r="R470" s="182">
        <f t="shared" si="34"/>
        <v>1.2784511609978109</v>
      </c>
      <c r="S470" s="182">
        <f t="shared" si="35"/>
        <v>1.2784511609978109</v>
      </c>
      <c r="T470" s="139">
        <f>K470*F470*'Sac Parametreleri'!$B$6*G470</f>
        <v>1.3799907499999999</v>
      </c>
      <c r="U470" s="139">
        <f>N470*F470*'Sac Parametreleri'!$B$6*G470</f>
        <v>0.3690469559569074</v>
      </c>
      <c r="V470" s="139">
        <f>M470*F470*'Sac Parametreleri'!$B$6*G470</f>
        <v>1.7490377059569073</v>
      </c>
      <c r="W470" s="135" t="s">
        <v>1520</v>
      </c>
    </row>
    <row r="471" spans="1:23" ht="15" customHeight="1" x14ac:dyDescent="0.25">
      <c r="A471" s="135" t="s">
        <v>532</v>
      </c>
      <c r="B471" s="135">
        <v>2</v>
      </c>
      <c r="C471" s="135" t="s">
        <v>1949</v>
      </c>
      <c r="D471" s="135" t="s">
        <v>749</v>
      </c>
      <c r="E471" s="135" t="s">
        <v>1552</v>
      </c>
      <c r="F471" s="135">
        <v>6</v>
      </c>
      <c r="G471" s="135">
        <v>1</v>
      </c>
      <c r="H471" s="135" t="s">
        <v>1742</v>
      </c>
      <c r="I471" s="178"/>
      <c r="J471" s="178"/>
      <c r="K471" s="179">
        <v>4.0549999999999996E-3</v>
      </c>
      <c r="L471" s="179">
        <v>0</v>
      </c>
      <c r="M471" s="180">
        <f>K471/(1-'Sac Parametreleri'!$B$27)</f>
        <v>4.9451219512195114E-3</v>
      </c>
      <c r="N471" s="180">
        <f t="shared" si="32"/>
        <v>8.9012195121951181E-4</v>
      </c>
      <c r="O471" s="138">
        <f t="shared" si="33"/>
        <v>0.17999999999999994</v>
      </c>
      <c r="P471" s="181">
        <f>IF(E471="Hardox 450",INDEX('Sac Parametreleri'!$G$11:$G$24,MATCH(F471,'Sac Parametreleri'!$A$11:$A$24,0)),INDEX('Sac Parametreleri'!$E$11:$E$24,MATCH(F471,'Sac Parametreleri'!$A$11:$A$24,0)))</f>
        <v>37.68</v>
      </c>
      <c r="Q471" s="181">
        <f>INDEX('Sac Parametreleri'!$F$11:$F$24,MATCH(F471,'Sac Parametreleri'!$A$11:$A$24,0))</f>
        <v>15.414545454545452</v>
      </c>
      <c r="R471" s="182">
        <f t="shared" si="34"/>
        <v>0.17261136984478931</v>
      </c>
      <c r="S471" s="182">
        <f t="shared" si="35"/>
        <v>0.17261136984478931</v>
      </c>
      <c r="T471" s="139">
        <f>K471*F471*'Sac Parametreleri'!$B$6*G471</f>
        <v>0.19099049999999998</v>
      </c>
      <c r="U471" s="139">
        <f>N471*F471*'Sac Parametreleri'!$B$6*G471</f>
        <v>4.1924743902439006E-2</v>
      </c>
      <c r="V471" s="139">
        <f>M471*F471*'Sac Parametreleri'!$B$6*G471</f>
        <v>0.23291524390243898</v>
      </c>
      <c r="W471" s="135" t="s">
        <v>1520</v>
      </c>
    </row>
    <row r="472" spans="1:23" ht="15" customHeight="1" x14ac:dyDescent="0.25">
      <c r="A472" s="135" t="s">
        <v>535</v>
      </c>
      <c r="B472" s="135">
        <v>1</v>
      </c>
      <c r="C472" s="135" t="s">
        <v>1950</v>
      </c>
      <c r="D472" s="135" t="s">
        <v>1951</v>
      </c>
      <c r="E472" s="135" t="s">
        <v>1552</v>
      </c>
      <c r="F472" s="135">
        <v>6</v>
      </c>
      <c r="G472" s="135">
        <v>2</v>
      </c>
      <c r="H472" s="135" t="s">
        <v>1742</v>
      </c>
      <c r="I472" s="178"/>
      <c r="J472" s="178"/>
      <c r="K472" s="179">
        <v>1.0552000000000001E-2</v>
      </c>
      <c r="L472" s="179">
        <v>0</v>
      </c>
      <c r="M472" s="180">
        <f>K472/(1-'Sac Parametreleri'!$B$27)</f>
        <v>1.286829268292683E-2</v>
      </c>
      <c r="N472" s="180">
        <f t="shared" si="32"/>
        <v>2.316292682926829E-3</v>
      </c>
      <c r="O472" s="138">
        <f t="shared" si="33"/>
        <v>0.17999999999999997</v>
      </c>
      <c r="P472" s="181">
        <f>IF(E472="Hardox 450",INDEX('Sac Parametreleri'!$G$11:$G$24,MATCH(F472,'Sac Parametreleri'!$A$11:$A$24,0)),INDEX('Sac Parametreleri'!$E$11:$E$24,MATCH(F472,'Sac Parametreleri'!$A$11:$A$24,0)))</f>
        <v>37.68</v>
      </c>
      <c r="Q472" s="181">
        <f>INDEX('Sac Parametreleri'!$F$11:$F$24,MATCH(F472,'Sac Parametreleri'!$A$11:$A$24,0))</f>
        <v>15.414545454545452</v>
      </c>
      <c r="R472" s="182">
        <f t="shared" si="34"/>
        <v>0.4491726694456763</v>
      </c>
      <c r="S472" s="182">
        <f t="shared" si="35"/>
        <v>0.8983453388913526</v>
      </c>
      <c r="T472" s="139">
        <f>K472*F472*'Sac Parametreleri'!$B$6*G472</f>
        <v>0.99399840000000006</v>
      </c>
      <c r="U472" s="139">
        <f>N472*F472*'Sac Parametreleri'!$B$6*G472</f>
        <v>0.21819477073170729</v>
      </c>
      <c r="V472" s="139">
        <f>M472*F472*'Sac Parametreleri'!$B$6*G472</f>
        <v>1.2121931707317073</v>
      </c>
      <c r="W472" s="135" t="s">
        <v>1520</v>
      </c>
    </row>
    <row r="473" spans="1:23" ht="15" customHeight="1" x14ac:dyDescent="0.25">
      <c r="A473" s="135" t="s">
        <v>535</v>
      </c>
      <c r="B473" s="135">
        <v>3</v>
      </c>
      <c r="C473" s="135" t="s">
        <v>1952</v>
      </c>
      <c r="D473" s="135" t="s">
        <v>1953</v>
      </c>
      <c r="E473" s="135" t="s">
        <v>1552</v>
      </c>
      <c r="F473" s="135">
        <v>6</v>
      </c>
      <c r="G473" s="135">
        <v>2</v>
      </c>
      <c r="H473" s="135" t="s">
        <v>1742</v>
      </c>
      <c r="I473" s="178"/>
      <c r="J473" s="178"/>
      <c r="K473" s="179">
        <v>7.0100000000000002E-4</v>
      </c>
      <c r="L473" s="179">
        <v>0</v>
      </c>
      <c r="M473" s="180">
        <f>K473/(1-'Sac Parametreleri'!$B$27)</f>
        <v>8.5487804878048778E-4</v>
      </c>
      <c r="N473" s="180">
        <f t="shared" si="32"/>
        <v>1.5387804878048777E-4</v>
      </c>
      <c r="O473" s="138">
        <f t="shared" si="33"/>
        <v>0.17999999999999997</v>
      </c>
      <c r="P473" s="181">
        <f>IF(E473="Hardox 450",INDEX('Sac Parametreleri'!$G$11:$G$24,MATCH(F473,'Sac Parametreleri'!$A$11:$A$24,0)),INDEX('Sac Parametreleri'!$E$11:$E$24,MATCH(F473,'Sac Parametreleri'!$A$11:$A$24,0)))</f>
        <v>37.68</v>
      </c>
      <c r="Q473" s="181">
        <f>INDEX('Sac Parametreleri'!$F$11:$F$24,MATCH(F473,'Sac Parametreleri'!$A$11:$A$24,0))</f>
        <v>15.414545454545452</v>
      </c>
      <c r="R473" s="182">
        <f t="shared" si="34"/>
        <v>2.9839844700665186E-2</v>
      </c>
      <c r="S473" s="182">
        <f t="shared" si="35"/>
        <v>5.9679689401330373E-2</v>
      </c>
      <c r="T473" s="139">
        <f>K473*F473*'Sac Parametreleri'!$B$6*G473</f>
        <v>6.6034199999999987E-2</v>
      </c>
      <c r="U473" s="139">
        <f>N473*F473*'Sac Parametreleri'!$B$6*G473</f>
        <v>1.4495312195121946E-2</v>
      </c>
      <c r="V473" s="139">
        <f>M473*F473*'Sac Parametreleri'!$B$6*G473</f>
        <v>8.0529512195121944E-2</v>
      </c>
      <c r="W473" s="135" t="s">
        <v>1520</v>
      </c>
    </row>
    <row r="474" spans="1:23" ht="15" customHeight="1" x14ac:dyDescent="0.25">
      <c r="A474" s="135" t="s">
        <v>604</v>
      </c>
      <c r="B474" s="135">
        <v>1</v>
      </c>
      <c r="C474" s="135" t="s">
        <v>811</v>
      </c>
      <c r="D474" s="135" t="s">
        <v>812</v>
      </c>
      <c r="E474" s="135" t="s">
        <v>1552</v>
      </c>
      <c r="F474" s="135">
        <v>5</v>
      </c>
      <c r="G474" s="135">
        <v>1</v>
      </c>
      <c r="H474" s="135" t="s">
        <v>1746</v>
      </c>
      <c r="I474" s="178"/>
      <c r="J474" s="178"/>
      <c r="K474" s="179">
        <v>2.9529E-2</v>
      </c>
      <c r="L474" s="179">
        <v>0</v>
      </c>
      <c r="M474" s="180">
        <f>K474/(1-'Sac Parametreleri'!$B$29)</f>
        <v>3.742585551330798E-2</v>
      </c>
      <c r="N474" s="180">
        <f t="shared" si="32"/>
        <v>7.8968555133079807E-3</v>
      </c>
      <c r="O474" s="138">
        <f t="shared" si="33"/>
        <v>0.21099999999999991</v>
      </c>
      <c r="P474" s="181">
        <f>IF(E474="Hardox 450",INDEX('Sac Parametreleri'!$G$11:$G$24,MATCH(F474,'Sac Parametreleri'!$A$11:$A$24,0)),INDEX('Sac Parametreleri'!$E$11:$E$24,MATCH(F474,'Sac Parametreleri'!$A$11:$A$24,0)))</f>
        <v>31.400000000000002</v>
      </c>
      <c r="Q474" s="181">
        <f>INDEX('Sac Parametreleri'!$F$11:$F$24,MATCH(F474,'Sac Parametreleri'!$A$11:$A$24,0))</f>
        <v>12.845454545454546</v>
      </c>
      <c r="R474" s="182">
        <f t="shared" si="34"/>
        <v>1.0737331645696508</v>
      </c>
      <c r="S474" s="182">
        <f t="shared" si="35"/>
        <v>1.0737331645696508</v>
      </c>
      <c r="T474" s="139">
        <f>K474*F474*'Sac Parametreleri'!$B$6*G474</f>
        <v>1.1590132499999999</v>
      </c>
      <c r="U474" s="139">
        <f>N474*F474*'Sac Parametreleri'!$B$6*G474</f>
        <v>0.30995157889733821</v>
      </c>
      <c r="V474" s="139">
        <f>M474*F474*'Sac Parametreleri'!$B$6*G474</f>
        <v>1.4689648288973383</v>
      </c>
      <c r="W474" s="135" t="s">
        <v>1520</v>
      </c>
    </row>
    <row r="475" spans="1:23" ht="15" customHeight="1" x14ac:dyDescent="0.25">
      <c r="A475" s="135" t="s">
        <v>604</v>
      </c>
      <c r="B475" s="135">
        <v>2</v>
      </c>
      <c r="C475" s="135" t="s">
        <v>1954</v>
      </c>
      <c r="D475" s="135" t="s">
        <v>1955</v>
      </c>
      <c r="E475" s="135" t="s">
        <v>1552</v>
      </c>
      <c r="F475" s="135">
        <v>5</v>
      </c>
      <c r="G475" s="135">
        <v>1</v>
      </c>
      <c r="H475" s="135" t="s">
        <v>1742</v>
      </c>
      <c r="I475" s="178"/>
      <c r="J475" s="178"/>
      <c r="K475" s="179">
        <v>9.58E-3</v>
      </c>
      <c r="L475" s="179">
        <v>0</v>
      </c>
      <c r="M475" s="180">
        <f>K475/(1-'Sac Parametreleri'!$B$27)</f>
        <v>1.1682926829268291E-2</v>
      </c>
      <c r="N475" s="180">
        <f t="shared" si="32"/>
        <v>2.1029268292682909E-3</v>
      </c>
      <c r="O475" s="138">
        <f t="shared" si="33"/>
        <v>0.17999999999999988</v>
      </c>
      <c r="P475" s="181">
        <f>IF(E475="Hardox 450",INDEX('Sac Parametreleri'!$G$11:$G$24,MATCH(F475,'Sac Parametreleri'!$A$11:$A$24,0)),INDEX('Sac Parametreleri'!$E$11:$E$24,MATCH(F475,'Sac Parametreleri'!$A$11:$A$24,0)))</f>
        <v>31.400000000000002</v>
      </c>
      <c r="Q475" s="181">
        <f>INDEX('Sac Parametreleri'!$F$11:$F$24,MATCH(F475,'Sac Parametreleri'!$A$11:$A$24,0))</f>
        <v>12.845454545454546</v>
      </c>
      <c r="R475" s="182">
        <f t="shared" si="34"/>
        <v>0.3398308514412417</v>
      </c>
      <c r="S475" s="182">
        <f t="shared" si="35"/>
        <v>0.3398308514412417</v>
      </c>
      <c r="T475" s="139">
        <f>K475*F475*'Sac Parametreleri'!$B$6*G475</f>
        <v>0.37601499999999999</v>
      </c>
      <c r="U475" s="139">
        <f>N475*F475*'Sac Parametreleri'!$B$6*G475</f>
        <v>8.2539878048780421E-2</v>
      </c>
      <c r="V475" s="139">
        <f>M475*F475*'Sac Parametreleri'!$B$6*G475</f>
        <v>0.45855487804878037</v>
      </c>
      <c r="W475" s="135" t="s">
        <v>1520</v>
      </c>
    </row>
    <row r="476" spans="1:23" ht="15" customHeight="1" x14ac:dyDescent="0.25">
      <c r="A476" s="135" t="s">
        <v>604</v>
      </c>
      <c r="B476" s="135">
        <v>3</v>
      </c>
      <c r="C476" s="135" t="s">
        <v>1956</v>
      </c>
      <c r="D476" s="135" t="s">
        <v>1955</v>
      </c>
      <c r="E476" s="135" t="s">
        <v>1552</v>
      </c>
      <c r="F476" s="135">
        <v>5</v>
      </c>
      <c r="G476" s="135">
        <v>1</v>
      </c>
      <c r="H476" s="135" t="s">
        <v>1742</v>
      </c>
      <c r="I476" s="178"/>
      <c r="J476" s="178"/>
      <c r="K476" s="179">
        <v>1.0189999999999999E-3</v>
      </c>
      <c r="L476" s="179">
        <v>0</v>
      </c>
      <c r="M476" s="180">
        <f>K476/(1-'Sac Parametreleri'!$B$27)</f>
        <v>1.2426829268292682E-3</v>
      </c>
      <c r="N476" s="180">
        <f t="shared" si="32"/>
        <v>2.2368292682926828E-4</v>
      </c>
      <c r="O476" s="138">
        <f t="shared" si="33"/>
        <v>0.18</v>
      </c>
      <c r="P476" s="181">
        <f>IF(E476="Hardox 450",INDEX('Sac Parametreleri'!$G$11:$G$24,MATCH(F476,'Sac Parametreleri'!$A$11:$A$24,0)),INDEX('Sac Parametreleri'!$E$11:$E$24,MATCH(F476,'Sac Parametreleri'!$A$11:$A$24,0)))</f>
        <v>31.400000000000002</v>
      </c>
      <c r="Q476" s="181">
        <f>INDEX('Sac Parametreleri'!$F$11:$F$24,MATCH(F476,'Sac Parametreleri'!$A$11:$A$24,0))</f>
        <v>12.845454545454546</v>
      </c>
      <c r="R476" s="182">
        <f t="shared" si="34"/>
        <v>3.6146935033259421E-2</v>
      </c>
      <c r="S476" s="182">
        <f t="shared" si="35"/>
        <v>3.6146935033259421E-2</v>
      </c>
      <c r="T476" s="139">
        <f>K476*F476*'Sac Parametreleri'!$B$6*G476</f>
        <v>3.9995749999999997E-2</v>
      </c>
      <c r="U476" s="139">
        <f>N476*F476*'Sac Parametreleri'!$B$6*G476</f>
        <v>8.7795548780487797E-3</v>
      </c>
      <c r="V476" s="139">
        <f>M476*F476*'Sac Parametreleri'!$B$6*G476</f>
        <v>4.8775304878048771E-2</v>
      </c>
      <c r="W476" s="135" t="s">
        <v>1520</v>
      </c>
    </row>
    <row r="477" spans="1:23" ht="15" customHeight="1" x14ac:dyDescent="0.25">
      <c r="A477" s="135" t="s">
        <v>557</v>
      </c>
      <c r="B477" s="135">
        <v>1</v>
      </c>
      <c r="C477" s="135" t="s">
        <v>1957</v>
      </c>
      <c r="D477" s="135" t="s">
        <v>749</v>
      </c>
      <c r="E477" s="135" t="s">
        <v>1552</v>
      </c>
      <c r="F477" s="135">
        <v>6</v>
      </c>
      <c r="G477" s="135">
        <v>1</v>
      </c>
      <c r="H477" s="135" t="s">
        <v>1742</v>
      </c>
      <c r="I477" s="178"/>
      <c r="J477" s="178"/>
      <c r="K477" s="179">
        <v>1.2484E-2</v>
      </c>
      <c r="L477" s="179">
        <v>0</v>
      </c>
      <c r="M477" s="180">
        <f>K477/(1-'Sac Parametreleri'!$B$27)</f>
        <v>1.5224390243902439E-2</v>
      </c>
      <c r="N477" s="180">
        <f t="shared" si="32"/>
        <v>2.7403902439024387E-3</v>
      </c>
      <c r="O477" s="138">
        <f t="shared" si="33"/>
        <v>0.18</v>
      </c>
      <c r="P477" s="181">
        <f>IF(E477="Hardox 450",INDEX('Sac Parametreleri'!$G$11:$G$24,MATCH(F477,'Sac Parametreleri'!$A$11:$A$24,0)),INDEX('Sac Parametreleri'!$E$11:$E$24,MATCH(F477,'Sac Parametreleri'!$A$11:$A$24,0)))</f>
        <v>37.68</v>
      </c>
      <c r="Q477" s="181">
        <f>INDEX('Sac Parametreleri'!$F$11:$F$24,MATCH(F477,'Sac Parametreleri'!$A$11:$A$24,0))</f>
        <v>15.414545454545452</v>
      </c>
      <c r="R477" s="182">
        <f t="shared" si="34"/>
        <v>0.53141315441241677</v>
      </c>
      <c r="S477" s="182">
        <f t="shared" si="35"/>
        <v>0.53141315441241677</v>
      </c>
      <c r="T477" s="139">
        <f>K477*F477*'Sac Parametreleri'!$B$6*G477</f>
        <v>0.58799639999999997</v>
      </c>
      <c r="U477" s="139">
        <f>N477*F477*'Sac Parametreleri'!$B$6*G477</f>
        <v>0.12907238048780487</v>
      </c>
      <c r="V477" s="139">
        <f>M477*F477*'Sac Parametreleri'!$B$6*G477</f>
        <v>0.71706878048780487</v>
      </c>
      <c r="W477" s="135" t="s">
        <v>1520</v>
      </c>
    </row>
    <row r="478" spans="1:23" ht="15" customHeight="1" x14ac:dyDescent="0.25">
      <c r="A478" s="135" t="s">
        <v>557</v>
      </c>
      <c r="B478" s="135">
        <v>3</v>
      </c>
      <c r="C478" s="135" t="s">
        <v>1958</v>
      </c>
      <c r="D478" s="135" t="s">
        <v>749</v>
      </c>
      <c r="E478" s="135" t="s">
        <v>1552</v>
      </c>
      <c r="F478" s="135">
        <v>6</v>
      </c>
      <c r="G478" s="135">
        <v>1</v>
      </c>
      <c r="H478" s="135" t="s">
        <v>1742</v>
      </c>
      <c r="I478" s="178"/>
      <c r="J478" s="178"/>
      <c r="K478" s="179">
        <v>6.6880000000000004E-3</v>
      </c>
      <c r="L478" s="179">
        <v>0</v>
      </c>
      <c r="M478" s="180">
        <f>K478/(1-'Sac Parametreleri'!$B$27)</f>
        <v>8.156097560975609E-3</v>
      </c>
      <c r="N478" s="180">
        <f t="shared" si="32"/>
        <v>1.4680975609756087E-3</v>
      </c>
      <c r="O478" s="138">
        <f t="shared" si="33"/>
        <v>0.17999999999999988</v>
      </c>
      <c r="P478" s="181">
        <f>IF(E478="Hardox 450",INDEX('Sac Parametreleri'!$G$11:$G$24,MATCH(F478,'Sac Parametreleri'!$A$11:$A$24,0)),INDEX('Sac Parametreleri'!$E$11:$E$24,MATCH(F478,'Sac Parametreleri'!$A$11:$A$24,0)))</f>
        <v>37.68</v>
      </c>
      <c r="Q478" s="181">
        <f>INDEX('Sac Parametreleri'!$F$11:$F$24,MATCH(F478,'Sac Parametreleri'!$A$11:$A$24,0))</f>
        <v>15.414545454545452</v>
      </c>
      <c r="R478" s="182">
        <f t="shared" si="34"/>
        <v>0.28469169951219514</v>
      </c>
      <c r="S478" s="182">
        <f t="shared" si="35"/>
        <v>0.28469169951219514</v>
      </c>
      <c r="T478" s="139">
        <f>K478*F478*'Sac Parametreleri'!$B$6*G478</f>
        <v>0.31500480000000003</v>
      </c>
      <c r="U478" s="139">
        <f>N478*F478*'Sac Parametreleri'!$B$6*G478</f>
        <v>6.9147395121951158E-2</v>
      </c>
      <c r="V478" s="139">
        <f>M478*F478*'Sac Parametreleri'!$B$6*G478</f>
        <v>0.3841521951219512</v>
      </c>
      <c r="W478" s="135" t="s">
        <v>1520</v>
      </c>
    </row>
    <row r="479" spans="1:23" ht="15" customHeight="1" x14ac:dyDescent="0.25">
      <c r="A479" s="135" t="s">
        <v>557</v>
      </c>
      <c r="B479" s="135">
        <v>4</v>
      </c>
      <c r="C479" s="135" t="s">
        <v>1959</v>
      </c>
      <c r="D479" s="135" t="s">
        <v>749</v>
      </c>
      <c r="E479" s="135" t="s">
        <v>1552</v>
      </c>
      <c r="F479" s="135">
        <v>6</v>
      </c>
      <c r="G479" s="135">
        <v>2</v>
      </c>
      <c r="H479" s="135" t="s">
        <v>1742</v>
      </c>
      <c r="I479" s="178"/>
      <c r="J479" s="178"/>
      <c r="K479" s="179">
        <v>1.338E-3</v>
      </c>
      <c r="L479" s="179">
        <v>0</v>
      </c>
      <c r="M479" s="180">
        <f>K479/(1-'Sac Parametreleri'!$B$27)</f>
        <v>1.6317073170731707E-3</v>
      </c>
      <c r="N479" s="180">
        <f t="shared" si="32"/>
        <v>2.9370731707317071E-4</v>
      </c>
      <c r="O479" s="138">
        <f t="shared" si="33"/>
        <v>0.18</v>
      </c>
      <c r="P479" s="181">
        <f>IF(E479="Hardox 450",INDEX('Sac Parametreleri'!$G$11:$G$24,MATCH(F479,'Sac Parametreleri'!$A$11:$A$24,0)),INDEX('Sac Parametreleri'!$E$11:$E$24,MATCH(F479,'Sac Parametreleri'!$A$11:$A$24,0)))</f>
        <v>37.68</v>
      </c>
      <c r="Q479" s="181">
        <f>INDEX('Sac Parametreleri'!$F$11:$F$24,MATCH(F479,'Sac Parametreleri'!$A$11:$A$24,0))</f>
        <v>15.414545454545452</v>
      </c>
      <c r="R479" s="182">
        <f t="shared" si="34"/>
        <v>5.695536691796009E-2</v>
      </c>
      <c r="S479" s="182">
        <f t="shared" si="35"/>
        <v>0.11391073383592018</v>
      </c>
      <c r="T479" s="139">
        <f>K479*F479*'Sac Parametreleri'!$B$6*G479</f>
        <v>0.1260396</v>
      </c>
      <c r="U479" s="139">
        <f>N479*F479*'Sac Parametreleri'!$B$6*G479</f>
        <v>2.7667229268292681E-2</v>
      </c>
      <c r="V479" s="139">
        <f>M479*F479*'Sac Parametreleri'!$B$6*G479</f>
        <v>0.15370682926829266</v>
      </c>
      <c r="W479" s="135" t="s">
        <v>1520</v>
      </c>
    </row>
    <row r="480" spans="1:23" ht="15" customHeight="1" x14ac:dyDescent="0.25">
      <c r="A480" s="135" t="s">
        <v>547</v>
      </c>
      <c r="B480" s="135">
        <v>1</v>
      </c>
      <c r="C480" s="135" t="s">
        <v>897</v>
      </c>
      <c r="D480" s="135" t="s">
        <v>898</v>
      </c>
      <c r="E480" s="135" t="s">
        <v>1552</v>
      </c>
      <c r="F480" s="135">
        <v>6</v>
      </c>
      <c r="G480" s="135">
        <v>1</v>
      </c>
      <c r="H480" s="135" t="s">
        <v>1746</v>
      </c>
      <c r="I480" s="178"/>
      <c r="J480" s="178"/>
      <c r="K480" s="179">
        <v>2.1783E-2</v>
      </c>
      <c r="L480" s="179">
        <v>0</v>
      </c>
      <c r="M480" s="180">
        <f>K480/(1-'Sac Parametreleri'!$B$29)</f>
        <v>2.7608365019011406E-2</v>
      </c>
      <c r="N480" s="180">
        <f t="shared" si="32"/>
        <v>5.825365019011406E-3</v>
      </c>
      <c r="O480" s="138">
        <f t="shared" si="33"/>
        <v>0.21099999999999997</v>
      </c>
      <c r="P480" s="181">
        <f>IF(E480="Hardox 450",INDEX('Sac Parametreleri'!$G$11:$G$24,MATCH(F480,'Sac Parametreleri'!$A$11:$A$24,0)),INDEX('Sac Parametreleri'!$E$11:$E$24,MATCH(F480,'Sac Parametreleri'!$A$11:$A$24,0)))</f>
        <v>37.68</v>
      </c>
      <c r="Q480" s="181">
        <f>INDEX('Sac Parametreleri'!$F$11:$F$24,MATCH(F480,'Sac Parametreleri'!$A$11:$A$24,0))</f>
        <v>15.414545454545452</v>
      </c>
      <c r="R480" s="182">
        <f t="shared" si="34"/>
        <v>0.95048784004147935</v>
      </c>
      <c r="S480" s="182">
        <f t="shared" si="35"/>
        <v>0.95048784004147935</v>
      </c>
      <c r="T480" s="139">
        <f>K480*F480*'Sac Parametreleri'!$B$6*G480</f>
        <v>1.0259792999999999</v>
      </c>
      <c r="U480" s="139">
        <f>N480*F480*'Sac Parametreleri'!$B$6*G480</f>
        <v>0.27437469239543721</v>
      </c>
      <c r="V480" s="139">
        <f>M480*F480*'Sac Parametreleri'!$B$6*G480</f>
        <v>1.3003539923954373</v>
      </c>
      <c r="W480" s="135" t="s">
        <v>1520</v>
      </c>
    </row>
    <row r="481" spans="1:23" ht="15" customHeight="1" x14ac:dyDescent="0.25">
      <c r="A481" s="135" t="s">
        <v>547</v>
      </c>
      <c r="B481" s="135">
        <v>2</v>
      </c>
      <c r="C481" s="135" t="s">
        <v>1960</v>
      </c>
      <c r="D481" s="135" t="s">
        <v>1961</v>
      </c>
      <c r="E481" s="135" t="s">
        <v>1552</v>
      </c>
      <c r="F481" s="135">
        <v>6</v>
      </c>
      <c r="G481" s="135">
        <v>2</v>
      </c>
      <c r="H481" s="135" t="s">
        <v>1742</v>
      </c>
      <c r="I481" s="178"/>
      <c r="J481" s="178"/>
      <c r="K481" s="179">
        <v>4.2459999999999998E-3</v>
      </c>
      <c r="L481" s="179">
        <v>0</v>
      </c>
      <c r="M481" s="180">
        <f>K481/(1-'Sac Parametreleri'!$B$27)</f>
        <v>5.1780487804878039E-3</v>
      </c>
      <c r="N481" s="180">
        <f t="shared" si="32"/>
        <v>9.3204878048780415E-4</v>
      </c>
      <c r="O481" s="138">
        <f t="shared" si="33"/>
        <v>0.17999999999999988</v>
      </c>
      <c r="P481" s="181">
        <f>IF(E481="Hardox 450",INDEX('Sac Parametreleri'!$G$11:$G$24,MATCH(F481,'Sac Parametreleri'!$A$11:$A$24,0)),INDEX('Sac Parametreleri'!$E$11:$E$24,MATCH(F481,'Sac Parametreleri'!$A$11:$A$24,0)))</f>
        <v>37.68</v>
      </c>
      <c r="Q481" s="181">
        <f>INDEX('Sac Parametreleri'!$F$11:$F$24,MATCH(F481,'Sac Parametreleri'!$A$11:$A$24,0))</f>
        <v>15.414545454545452</v>
      </c>
      <c r="R481" s="182">
        <f t="shared" si="34"/>
        <v>0.18074176975609751</v>
      </c>
      <c r="S481" s="182">
        <f t="shared" si="35"/>
        <v>0.36148353951219503</v>
      </c>
      <c r="T481" s="139">
        <f>K481*F481*'Sac Parametreleri'!$B$6*G481</f>
        <v>0.39997319999999997</v>
      </c>
      <c r="U481" s="139">
        <f>N481*F481*'Sac Parametreleri'!$B$6*G481</f>
        <v>8.7798995121951148E-2</v>
      </c>
      <c r="V481" s="139">
        <f>M481*F481*'Sac Parametreleri'!$B$6*G481</f>
        <v>0.48777219512195114</v>
      </c>
      <c r="W481" s="135" t="s">
        <v>1520</v>
      </c>
    </row>
    <row r="482" spans="1:23" ht="15" customHeight="1" x14ac:dyDescent="0.25">
      <c r="A482" s="135" t="s">
        <v>502</v>
      </c>
      <c r="B482" s="135">
        <v>1</v>
      </c>
      <c r="C482" s="135" t="s">
        <v>904</v>
      </c>
      <c r="D482" s="135" t="s">
        <v>905</v>
      </c>
      <c r="E482" s="135" t="s">
        <v>1552</v>
      </c>
      <c r="F482" s="135">
        <v>6</v>
      </c>
      <c r="G482" s="135">
        <v>1</v>
      </c>
      <c r="H482" s="135" t="s">
        <v>1746</v>
      </c>
      <c r="I482" s="178"/>
      <c r="J482" s="178"/>
      <c r="K482" s="179">
        <v>2.1189E-2</v>
      </c>
      <c r="L482" s="179">
        <v>0</v>
      </c>
      <c r="M482" s="180">
        <f>K482/(1-'Sac Parametreleri'!$B$29)</f>
        <v>2.6855513307984788E-2</v>
      </c>
      <c r="N482" s="180">
        <f t="shared" si="32"/>
        <v>5.6665133079847885E-3</v>
      </c>
      <c r="O482" s="138">
        <f t="shared" si="33"/>
        <v>0.21099999999999994</v>
      </c>
      <c r="P482" s="181">
        <f>IF(E482="Hardox 450",INDEX('Sac Parametreleri'!$G$11:$G$24,MATCH(F482,'Sac Parametreleri'!$A$11:$A$24,0)),INDEX('Sac Parametreleri'!$E$11:$E$24,MATCH(F482,'Sac Parametreleri'!$A$11:$A$24,0)))</f>
        <v>37.68</v>
      </c>
      <c r="Q482" s="181">
        <f>INDEX('Sac Parametreleri'!$F$11:$F$24,MATCH(F482,'Sac Parametreleri'!$A$11:$A$24,0))</f>
        <v>15.414545454545452</v>
      </c>
      <c r="R482" s="182">
        <f t="shared" si="34"/>
        <v>0.9245690144901485</v>
      </c>
      <c r="S482" s="182">
        <f t="shared" si="35"/>
        <v>0.9245690144901485</v>
      </c>
      <c r="T482" s="139">
        <f>K482*F482*'Sac Parametreleri'!$B$6*G482</f>
        <v>0.99800189999999989</v>
      </c>
      <c r="U482" s="139">
        <f>N482*F482*'Sac Parametreleri'!$B$6*G482</f>
        <v>0.26689277680608353</v>
      </c>
      <c r="V482" s="139">
        <f>M482*F482*'Sac Parametreleri'!$B$6*G482</f>
        <v>1.2648946768060834</v>
      </c>
      <c r="W482" s="135" t="s">
        <v>1520</v>
      </c>
    </row>
    <row r="483" spans="1:23" ht="15" customHeight="1" x14ac:dyDescent="0.25">
      <c r="A483" s="135" t="s">
        <v>502</v>
      </c>
      <c r="B483" s="135">
        <v>2</v>
      </c>
      <c r="C483" s="135" t="s">
        <v>1962</v>
      </c>
      <c r="D483" s="135" t="s">
        <v>1963</v>
      </c>
      <c r="E483" s="135" t="s">
        <v>1552</v>
      </c>
      <c r="F483" s="135">
        <v>6</v>
      </c>
      <c r="G483" s="135">
        <v>2</v>
      </c>
      <c r="H483" s="135" t="s">
        <v>1742</v>
      </c>
      <c r="I483" s="178"/>
      <c r="J483" s="178"/>
      <c r="K483" s="179">
        <v>4.0980000000000001E-3</v>
      </c>
      <c r="L483" s="179">
        <v>0</v>
      </c>
      <c r="M483" s="180">
        <f>K483/(1-'Sac Parametreleri'!$B$27)</f>
        <v>4.997560975609756E-3</v>
      </c>
      <c r="N483" s="180">
        <f t="shared" si="32"/>
        <v>8.9956097560975595E-4</v>
      </c>
      <c r="O483" s="138">
        <f t="shared" si="33"/>
        <v>0.17999999999999997</v>
      </c>
      <c r="P483" s="181">
        <f>IF(E483="Hardox 450",INDEX('Sac Parametreleri'!$G$11:$G$24,MATCH(F483,'Sac Parametreleri'!$A$11:$A$24,0)),INDEX('Sac Parametreleri'!$E$11:$E$24,MATCH(F483,'Sac Parametreleri'!$A$11:$A$24,0)))</f>
        <v>37.68</v>
      </c>
      <c r="Q483" s="181">
        <f>INDEX('Sac Parametreleri'!$F$11:$F$24,MATCH(F483,'Sac Parametreleri'!$A$11:$A$24,0))</f>
        <v>15.414545454545452</v>
      </c>
      <c r="R483" s="182">
        <f t="shared" si="34"/>
        <v>0.17444177401330377</v>
      </c>
      <c r="S483" s="182">
        <f t="shared" si="35"/>
        <v>0.34888354802660754</v>
      </c>
      <c r="T483" s="139">
        <f>K483*F483*'Sac Parametreleri'!$B$6*G483</f>
        <v>0.38603159999999997</v>
      </c>
      <c r="U483" s="139">
        <f>N483*F483*'Sac Parametreleri'!$B$6*G483</f>
        <v>8.4738643902439001E-2</v>
      </c>
      <c r="V483" s="139">
        <f>M483*F483*'Sac Parametreleri'!$B$6*G483</f>
        <v>0.47077024390243899</v>
      </c>
      <c r="W483" s="135" t="s">
        <v>1520</v>
      </c>
    </row>
    <row r="484" spans="1:23" ht="15" customHeight="1" x14ac:dyDescent="0.25">
      <c r="A484" s="135" t="s">
        <v>519</v>
      </c>
      <c r="B484" s="135">
        <v>1</v>
      </c>
      <c r="C484" s="135" t="s">
        <v>1000</v>
      </c>
      <c r="D484" s="135" t="s">
        <v>774</v>
      </c>
      <c r="E484" s="135" t="s">
        <v>1552</v>
      </c>
      <c r="F484" s="135">
        <v>6</v>
      </c>
      <c r="G484" s="135">
        <v>1</v>
      </c>
      <c r="H484" s="135" t="s">
        <v>1746</v>
      </c>
      <c r="I484" s="178"/>
      <c r="J484" s="178"/>
      <c r="K484" s="179">
        <v>2.6773000000000002E-2</v>
      </c>
      <c r="L484" s="179">
        <v>0</v>
      </c>
      <c r="M484" s="180">
        <f>K484/(1-'Sac Parametreleri'!$B$29)</f>
        <v>3.393282636248416E-2</v>
      </c>
      <c r="N484" s="180">
        <f t="shared" si="32"/>
        <v>7.1598263624841584E-3</v>
      </c>
      <c r="O484" s="138">
        <f t="shared" si="33"/>
        <v>0.21100000000000002</v>
      </c>
      <c r="P484" s="181">
        <f>IF(E484="Hardox 450",INDEX('Sac Parametreleri'!$G$11:$G$24,MATCH(F484,'Sac Parametreleri'!$A$11:$A$24,0)),INDEX('Sac Parametreleri'!$E$11:$E$24,MATCH(F484,'Sac Parametreleri'!$A$11:$A$24,0)))</f>
        <v>37.68</v>
      </c>
      <c r="Q484" s="181">
        <f>INDEX('Sac Parametreleri'!$F$11:$F$24,MATCH(F484,'Sac Parametreleri'!$A$11:$A$24,0))</f>
        <v>15.414545454545452</v>
      </c>
      <c r="R484" s="182">
        <f t="shared" si="34"/>
        <v>1.1682234284272384</v>
      </c>
      <c r="S484" s="182">
        <f t="shared" si="35"/>
        <v>1.1682234284272384</v>
      </c>
      <c r="T484" s="139">
        <f>K484*F484*'Sac Parametreleri'!$B$6*G484</f>
        <v>1.2610082999999999</v>
      </c>
      <c r="U484" s="139">
        <f>N484*F484*'Sac Parametreleri'!$B$6*G484</f>
        <v>0.33722782167300386</v>
      </c>
      <c r="V484" s="139">
        <f>M484*F484*'Sac Parametreleri'!$B$6*G484</f>
        <v>1.5982361216730039</v>
      </c>
      <c r="W484" s="135" t="s">
        <v>1520</v>
      </c>
    </row>
    <row r="485" spans="1:23" ht="15" customHeight="1" x14ac:dyDescent="0.25">
      <c r="A485" s="135" t="s">
        <v>519</v>
      </c>
      <c r="B485" s="135">
        <v>2</v>
      </c>
      <c r="C485" s="135" t="s">
        <v>1964</v>
      </c>
      <c r="D485" s="135" t="s">
        <v>774</v>
      </c>
      <c r="E485" s="135" t="s">
        <v>1552</v>
      </c>
      <c r="F485" s="135">
        <v>6</v>
      </c>
      <c r="G485" s="135">
        <v>2</v>
      </c>
      <c r="H485" s="135" t="s">
        <v>1742</v>
      </c>
      <c r="I485" s="178"/>
      <c r="J485" s="178"/>
      <c r="K485" s="179">
        <v>4.0980000000000001E-3</v>
      </c>
      <c r="L485" s="179">
        <v>0</v>
      </c>
      <c r="M485" s="180">
        <f>K485/(1-'Sac Parametreleri'!$B$27)</f>
        <v>4.997560975609756E-3</v>
      </c>
      <c r="N485" s="180">
        <f t="shared" si="32"/>
        <v>8.9956097560975595E-4</v>
      </c>
      <c r="O485" s="138">
        <f t="shared" si="33"/>
        <v>0.17999999999999997</v>
      </c>
      <c r="P485" s="181">
        <f>IF(E485="Hardox 450",INDEX('Sac Parametreleri'!$G$11:$G$24,MATCH(F485,'Sac Parametreleri'!$A$11:$A$24,0)),INDEX('Sac Parametreleri'!$E$11:$E$24,MATCH(F485,'Sac Parametreleri'!$A$11:$A$24,0)))</f>
        <v>37.68</v>
      </c>
      <c r="Q485" s="181">
        <f>INDEX('Sac Parametreleri'!$F$11:$F$24,MATCH(F485,'Sac Parametreleri'!$A$11:$A$24,0))</f>
        <v>15.414545454545452</v>
      </c>
      <c r="R485" s="182">
        <f t="shared" si="34"/>
        <v>0.17444177401330377</v>
      </c>
      <c r="S485" s="182">
        <f t="shared" si="35"/>
        <v>0.34888354802660754</v>
      </c>
      <c r="T485" s="139">
        <f>K485*F485*'Sac Parametreleri'!$B$6*G485</f>
        <v>0.38603159999999997</v>
      </c>
      <c r="U485" s="139">
        <f>N485*F485*'Sac Parametreleri'!$B$6*G485</f>
        <v>8.4738643902439001E-2</v>
      </c>
      <c r="V485" s="139">
        <f>M485*F485*'Sac Parametreleri'!$B$6*G485</f>
        <v>0.47077024390243899</v>
      </c>
      <c r="W485" s="135" t="s">
        <v>1520</v>
      </c>
    </row>
    <row r="486" spans="1:23" ht="15" customHeight="1" x14ac:dyDescent="0.25">
      <c r="A486" s="135" t="s">
        <v>611</v>
      </c>
      <c r="B486" s="135">
        <v>1</v>
      </c>
      <c r="C486" s="135" t="s">
        <v>967</v>
      </c>
      <c r="D486" s="135" t="s">
        <v>749</v>
      </c>
      <c r="E486" s="135" t="s">
        <v>1552</v>
      </c>
      <c r="F486" s="135">
        <v>5</v>
      </c>
      <c r="G486" s="135">
        <v>1</v>
      </c>
      <c r="H486" s="135" t="s">
        <v>1765</v>
      </c>
      <c r="I486" s="178"/>
      <c r="J486" s="178"/>
      <c r="K486" s="179">
        <v>2.9350000000000001E-2</v>
      </c>
      <c r="L486" s="179">
        <v>0</v>
      </c>
      <c r="M486" s="180">
        <f>K486/(1-'Sac Parametreleri'!$B$29)</f>
        <v>3.7198986058301645E-2</v>
      </c>
      <c r="N486" s="180">
        <f t="shared" si="32"/>
        <v>7.8489860583016435E-3</v>
      </c>
      <c r="O486" s="138">
        <f t="shared" si="33"/>
        <v>0.21099999999999991</v>
      </c>
      <c r="P486" s="181">
        <f>IF(E486="Hardox 450",INDEX('Sac Parametreleri'!$G$11:$G$24,MATCH(F486,'Sac Parametreleri'!$A$11:$A$24,0)),INDEX('Sac Parametreleri'!$E$11:$E$24,MATCH(F486,'Sac Parametreleri'!$A$11:$A$24,0)))</f>
        <v>31.400000000000002</v>
      </c>
      <c r="Q486" s="181">
        <f>INDEX('Sac Parametreleri'!$F$11:$F$24,MATCH(F486,'Sac Parametreleri'!$A$11:$A$24,0))</f>
        <v>12.845454545454546</v>
      </c>
      <c r="R486" s="182">
        <f t="shared" si="34"/>
        <v>1.0672243685908516</v>
      </c>
      <c r="S486" s="182">
        <f t="shared" si="35"/>
        <v>1.0672243685908516</v>
      </c>
      <c r="T486" s="139">
        <f>K486*F486*'Sac Parametreleri'!$B$6*G486</f>
        <v>1.1519874999999999</v>
      </c>
      <c r="U486" s="139">
        <f>N486*F486*'Sac Parametreleri'!$B$6*G486</f>
        <v>0.30807270278833948</v>
      </c>
      <c r="V486" s="139">
        <f>M486*F486*'Sac Parametreleri'!$B$6*G486</f>
        <v>1.4600602027883394</v>
      </c>
      <c r="W486" s="135" t="s">
        <v>1520</v>
      </c>
    </row>
    <row r="487" spans="1:23" ht="15" customHeight="1" x14ac:dyDescent="0.25">
      <c r="A487" s="135" t="s">
        <v>611</v>
      </c>
      <c r="B487" s="135">
        <v>2</v>
      </c>
      <c r="C487" s="135" t="s">
        <v>1965</v>
      </c>
      <c r="D487" s="135" t="s">
        <v>749</v>
      </c>
      <c r="E487" s="135" t="s">
        <v>1552</v>
      </c>
      <c r="F487" s="135">
        <v>5</v>
      </c>
      <c r="G487" s="135">
        <v>2</v>
      </c>
      <c r="H487" s="135" t="s">
        <v>1742</v>
      </c>
      <c r="I487" s="178"/>
      <c r="J487" s="178"/>
      <c r="K487" s="179">
        <v>2.624E-3</v>
      </c>
      <c r="L487" s="179">
        <v>0</v>
      </c>
      <c r="M487" s="180">
        <f>K487/(1-'Sac Parametreleri'!$B$27)</f>
        <v>3.1999999999999997E-3</v>
      </c>
      <c r="N487" s="180">
        <f t="shared" si="32"/>
        <v>5.7599999999999969E-4</v>
      </c>
      <c r="O487" s="138">
        <f t="shared" si="33"/>
        <v>0.17999999999999991</v>
      </c>
      <c r="P487" s="181">
        <f>IF(E487="Hardox 450",INDEX('Sac Parametreleri'!$G$11:$G$24,MATCH(F487,'Sac Parametreleri'!$A$11:$A$24,0)),INDEX('Sac Parametreleri'!$E$11:$E$24,MATCH(F487,'Sac Parametreleri'!$A$11:$A$24,0)))</f>
        <v>31.400000000000002</v>
      </c>
      <c r="Q487" s="181">
        <f>INDEX('Sac Parametreleri'!$F$11:$F$24,MATCH(F487,'Sac Parametreleri'!$A$11:$A$24,0))</f>
        <v>12.845454545454546</v>
      </c>
      <c r="R487" s="182">
        <f t="shared" si="34"/>
        <v>9.3081018181818187E-2</v>
      </c>
      <c r="S487" s="182">
        <f t="shared" si="35"/>
        <v>0.18616203636363637</v>
      </c>
      <c r="T487" s="139">
        <f>K487*F487*'Sac Parametreleri'!$B$6*G487</f>
        <v>0.20598399999999997</v>
      </c>
      <c r="U487" s="139">
        <f>N487*F487*'Sac Parametreleri'!$B$6*G487</f>
        <v>4.5215999999999971E-2</v>
      </c>
      <c r="V487" s="139">
        <f>M487*F487*'Sac Parametreleri'!$B$6*G487</f>
        <v>0.25119999999999998</v>
      </c>
      <c r="W487" s="135" t="s">
        <v>1520</v>
      </c>
    </row>
    <row r="488" spans="1:23" ht="15" customHeight="1" x14ac:dyDescent="0.25">
      <c r="A488" s="135" t="s">
        <v>474</v>
      </c>
      <c r="B488" s="135">
        <v>1</v>
      </c>
      <c r="C488" s="135" t="s">
        <v>1966</v>
      </c>
      <c r="D488" s="135" t="s">
        <v>1967</v>
      </c>
      <c r="E488" s="135" t="s">
        <v>1552</v>
      </c>
      <c r="F488" s="135">
        <v>25</v>
      </c>
      <c r="G488" s="135">
        <v>1</v>
      </c>
      <c r="H488" s="135" t="s">
        <v>1742</v>
      </c>
      <c r="I488" s="178"/>
      <c r="J488" s="178"/>
      <c r="K488" s="179">
        <v>2.9450000000000001E-3</v>
      </c>
      <c r="L488" s="179">
        <v>0</v>
      </c>
      <c r="M488" s="180">
        <f>K488/(1-'Sac Parametreleri'!$B$27)</f>
        <v>3.5914634146341461E-3</v>
      </c>
      <c r="N488" s="180">
        <f t="shared" si="32"/>
        <v>6.4646341463414593E-4</v>
      </c>
      <c r="O488" s="138">
        <f t="shared" si="33"/>
        <v>0.17999999999999991</v>
      </c>
      <c r="P488" s="181">
        <f>IF(E488="Hardox 450",INDEX('Sac Parametreleri'!$G$11:$G$24,MATCH(F488,'Sac Parametreleri'!$A$11:$A$24,0)),INDEX('Sac Parametreleri'!$E$11:$E$24,MATCH(F488,'Sac Parametreleri'!$A$11:$A$24,0)))</f>
        <v>157</v>
      </c>
      <c r="Q488" s="181">
        <f>INDEX('Sac Parametreleri'!$F$11:$F$24,MATCH(F488,'Sac Parametreleri'!$A$11:$A$24,0))</f>
        <v>64.227272727272734</v>
      </c>
      <c r="R488" s="182">
        <f t="shared" si="34"/>
        <v>0.52233917405764962</v>
      </c>
      <c r="S488" s="182">
        <f t="shared" si="35"/>
        <v>0.52233917405764962</v>
      </c>
      <c r="T488" s="139">
        <f>K488*F488*'Sac Parametreleri'!$B$6*G488</f>
        <v>0.57795625000000006</v>
      </c>
      <c r="U488" s="139">
        <f>N488*F488*'Sac Parametreleri'!$B$6*G488</f>
        <v>0.12686844512195114</v>
      </c>
      <c r="V488" s="139">
        <f>M488*F488*'Sac Parametreleri'!$B$6*G488</f>
        <v>0.70482469512195112</v>
      </c>
      <c r="W488" s="135" t="s">
        <v>1520</v>
      </c>
    </row>
    <row r="489" spans="1:23" ht="15" customHeight="1" x14ac:dyDescent="0.25">
      <c r="A489" s="135" t="s">
        <v>474</v>
      </c>
      <c r="B489" s="135">
        <v>2</v>
      </c>
      <c r="C489" s="135" t="s">
        <v>925</v>
      </c>
      <c r="D489" s="135" t="s">
        <v>926</v>
      </c>
      <c r="E489" s="135" t="s">
        <v>1552</v>
      </c>
      <c r="F489" s="135">
        <v>10</v>
      </c>
      <c r="G489" s="135">
        <v>1</v>
      </c>
      <c r="H489" s="135" t="s">
        <v>1765</v>
      </c>
      <c r="I489" s="178"/>
      <c r="J489" s="178"/>
      <c r="K489" s="179">
        <v>9.2359999999999994E-3</v>
      </c>
      <c r="L489" s="179">
        <v>0</v>
      </c>
      <c r="M489" s="180">
        <f>K489/(1-'Sac Parametreleri'!$B$29)</f>
        <v>1.1705956907477819E-2</v>
      </c>
      <c r="N489" s="180">
        <f t="shared" si="32"/>
        <v>2.4699569074778192E-3</v>
      </c>
      <c r="O489" s="138">
        <f t="shared" si="33"/>
        <v>0.21099999999999997</v>
      </c>
      <c r="P489" s="181">
        <f>IF(E489="Hardox 450",INDEX('Sac Parametreleri'!$G$11:$G$24,MATCH(F489,'Sac Parametreleri'!$A$11:$A$24,0)),INDEX('Sac Parametreleri'!$E$11:$E$24,MATCH(F489,'Sac Parametreleri'!$A$11:$A$24,0)))</f>
        <v>62.800000000000004</v>
      </c>
      <c r="Q489" s="181">
        <f>INDEX('Sac Parametreleri'!$F$11:$F$24,MATCH(F489,'Sac Parametreleri'!$A$11:$A$24,0))</f>
        <v>25.690909090909091</v>
      </c>
      <c r="R489" s="182">
        <f t="shared" si="34"/>
        <v>0.67167865542113137</v>
      </c>
      <c r="S489" s="182">
        <f t="shared" si="35"/>
        <v>0.67167865542113137</v>
      </c>
      <c r="T489" s="139">
        <f>K489*F489*'Sac Parametreleri'!$B$6*G489</f>
        <v>0.72502599999999995</v>
      </c>
      <c r="U489" s="139">
        <f>N489*F489*'Sac Parametreleri'!$B$6*G489</f>
        <v>0.19389161723700879</v>
      </c>
      <c r="V489" s="139">
        <f>M489*F489*'Sac Parametreleri'!$B$6*G489</f>
        <v>0.91891761723700871</v>
      </c>
      <c r="W489" s="135" t="s">
        <v>1520</v>
      </c>
    </row>
    <row r="490" spans="1:23" ht="15" customHeight="1" x14ac:dyDescent="0.25">
      <c r="A490" s="135" t="s">
        <v>534</v>
      </c>
      <c r="B490" s="135">
        <v>1</v>
      </c>
      <c r="C490" s="135" t="s">
        <v>771</v>
      </c>
      <c r="D490" s="135" t="s">
        <v>772</v>
      </c>
      <c r="E490" s="135" t="s">
        <v>1552</v>
      </c>
      <c r="F490" s="135">
        <v>5</v>
      </c>
      <c r="G490" s="135">
        <v>1</v>
      </c>
      <c r="H490" s="135" t="s">
        <v>1746</v>
      </c>
      <c r="I490" s="178"/>
      <c r="J490" s="178"/>
      <c r="K490" s="179">
        <v>2.1325E-2</v>
      </c>
      <c r="L490" s="179">
        <v>0</v>
      </c>
      <c r="M490" s="180">
        <f>K490/(1-'Sac Parametreleri'!$B$29)</f>
        <v>2.7027883396704689E-2</v>
      </c>
      <c r="N490" s="180">
        <f t="shared" si="32"/>
        <v>5.7028833967046888E-3</v>
      </c>
      <c r="O490" s="138">
        <f t="shared" si="33"/>
        <v>0.21099999999999997</v>
      </c>
      <c r="P490" s="181">
        <f>IF(E490="Hardox 450",INDEX('Sac Parametreleri'!$G$11:$G$24,MATCH(F490,'Sac Parametreleri'!$A$11:$A$24,0)),INDEX('Sac Parametreleri'!$E$11:$E$24,MATCH(F490,'Sac Parametreleri'!$A$11:$A$24,0)))</f>
        <v>31.400000000000002</v>
      </c>
      <c r="Q490" s="181">
        <f>INDEX('Sac Parametreleri'!$F$11:$F$24,MATCH(F490,'Sac Parametreleri'!$A$11:$A$24,0))</f>
        <v>12.845454545454546</v>
      </c>
      <c r="R490" s="182">
        <f t="shared" si="34"/>
        <v>0.77541940920612984</v>
      </c>
      <c r="S490" s="182">
        <f t="shared" si="35"/>
        <v>0.77541940920612984</v>
      </c>
      <c r="T490" s="139">
        <f>K490*F490*'Sac Parametreleri'!$B$6*G490</f>
        <v>0.83700624999999995</v>
      </c>
      <c r="U490" s="139">
        <f>N490*F490*'Sac Parametreleri'!$B$6*G490</f>
        <v>0.22383817332065903</v>
      </c>
      <c r="V490" s="139">
        <f>M490*F490*'Sac Parametreleri'!$B$6*G490</f>
        <v>1.0608444233206589</v>
      </c>
      <c r="W490" s="135" t="s">
        <v>1520</v>
      </c>
    </row>
    <row r="491" spans="1:23" ht="15" customHeight="1" x14ac:dyDescent="0.25">
      <c r="A491" s="135" t="s">
        <v>534</v>
      </c>
      <c r="B491" s="135">
        <v>2</v>
      </c>
      <c r="C491" s="135" t="s">
        <v>1954</v>
      </c>
      <c r="D491" s="135" t="s">
        <v>1968</v>
      </c>
      <c r="E491" s="135" t="s">
        <v>1552</v>
      </c>
      <c r="F491" s="135">
        <v>5</v>
      </c>
      <c r="G491" s="135">
        <v>1</v>
      </c>
      <c r="H491" s="135" t="s">
        <v>1742</v>
      </c>
      <c r="I491" s="178"/>
      <c r="J491" s="178"/>
      <c r="K491" s="179">
        <v>9.58E-3</v>
      </c>
      <c r="L491" s="179">
        <v>0</v>
      </c>
      <c r="M491" s="180">
        <f>K491/(1-'Sac Parametreleri'!$B$27)</f>
        <v>1.1682926829268291E-2</v>
      </c>
      <c r="N491" s="180">
        <f t="shared" si="32"/>
        <v>2.1029268292682909E-3</v>
      </c>
      <c r="O491" s="138">
        <f t="shared" si="33"/>
        <v>0.17999999999999988</v>
      </c>
      <c r="P491" s="181">
        <f>IF(E491="Hardox 450",INDEX('Sac Parametreleri'!$G$11:$G$24,MATCH(F491,'Sac Parametreleri'!$A$11:$A$24,0)),INDEX('Sac Parametreleri'!$E$11:$E$24,MATCH(F491,'Sac Parametreleri'!$A$11:$A$24,0)))</f>
        <v>31.400000000000002</v>
      </c>
      <c r="Q491" s="181">
        <f>INDEX('Sac Parametreleri'!$F$11:$F$24,MATCH(F491,'Sac Parametreleri'!$A$11:$A$24,0))</f>
        <v>12.845454545454546</v>
      </c>
      <c r="R491" s="182">
        <f t="shared" si="34"/>
        <v>0.3398308514412417</v>
      </c>
      <c r="S491" s="182">
        <f t="shared" si="35"/>
        <v>0.3398308514412417</v>
      </c>
      <c r="T491" s="139">
        <f>K491*F491*'Sac Parametreleri'!$B$6*G491</f>
        <v>0.37601499999999999</v>
      </c>
      <c r="U491" s="139">
        <f>N491*F491*'Sac Parametreleri'!$B$6*G491</f>
        <v>8.2539878048780421E-2</v>
      </c>
      <c r="V491" s="139">
        <f>M491*F491*'Sac Parametreleri'!$B$6*G491</f>
        <v>0.45855487804878037</v>
      </c>
      <c r="W491" s="135" t="s">
        <v>1520</v>
      </c>
    </row>
    <row r="492" spans="1:23" ht="15" customHeight="1" x14ac:dyDescent="0.25">
      <c r="A492" s="135" t="s">
        <v>534</v>
      </c>
      <c r="B492" s="135">
        <v>3</v>
      </c>
      <c r="C492" s="135" t="s">
        <v>1956</v>
      </c>
      <c r="D492" s="135" t="s">
        <v>1969</v>
      </c>
      <c r="E492" s="135" t="s">
        <v>1552</v>
      </c>
      <c r="F492" s="135">
        <v>5</v>
      </c>
      <c r="G492" s="135">
        <v>1</v>
      </c>
      <c r="H492" s="135" t="s">
        <v>1742</v>
      </c>
      <c r="I492" s="178"/>
      <c r="J492" s="178"/>
      <c r="K492" s="179">
        <v>1.0189999999999999E-3</v>
      </c>
      <c r="L492" s="179">
        <v>0</v>
      </c>
      <c r="M492" s="180">
        <f>K492/(1-'Sac Parametreleri'!$B$27)</f>
        <v>1.2426829268292682E-3</v>
      </c>
      <c r="N492" s="180">
        <f t="shared" si="32"/>
        <v>2.2368292682926828E-4</v>
      </c>
      <c r="O492" s="138">
        <f t="shared" si="33"/>
        <v>0.18</v>
      </c>
      <c r="P492" s="181">
        <f>IF(E492="Hardox 450",INDEX('Sac Parametreleri'!$G$11:$G$24,MATCH(F492,'Sac Parametreleri'!$A$11:$A$24,0)),INDEX('Sac Parametreleri'!$E$11:$E$24,MATCH(F492,'Sac Parametreleri'!$A$11:$A$24,0)))</f>
        <v>31.400000000000002</v>
      </c>
      <c r="Q492" s="181">
        <f>INDEX('Sac Parametreleri'!$F$11:$F$24,MATCH(F492,'Sac Parametreleri'!$A$11:$A$24,0))</f>
        <v>12.845454545454546</v>
      </c>
      <c r="R492" s="182">
        <f t="shared" si="34"/>
        <v>3.6146935033259421E-2</v>
      </c>
      <c r="S492" s="182">
        <f t="shared" si="35"/>
        <v>3.6146935033259421E-2</v>
      </c>
      <c r="T492" s="139">
        <f>K492*F492*'Sac Parametreleri'!$B$6*G492</f>
        <v>3.9995749999999997E-2</v>
      </c>
      <c r="U492" s="139">
        <f>N492*F492*'Sac Parametreleri'!$B$6*G492</f>
        <v>8.7795548780487797E-3</v>
      </c>
      <c r="V492" s="139">
        <f>M492*F492*'Sac Parametreleri'!$B$6*G492</f>
        <v>4.8775304878048771E-2</v>
      </c>
      <c r="W492" s="135" t="s">
        <v>1520</v>
      </c>
    </row>
    <row r="493" spans="1:23" ht="15" customHeight="1" x14ac:dyDescent="0.25">
      <c r="A493" s="135" t="s">
        <v>629</v>
      </c>
      <c r="B493" s="135">
        <v>1</v>
      </c>
      <c r="C493" s="135" t="s">
        <v>1970</v>
      </c>
      <c r="D493" s="135" t="s">
        <v>1971</v>
      </c>
      <c r="E493" s="135" t="s">
        <v>1552</v>
      </c>
      <c r="F493" s="135">
        <v>12</v>
      </c>
      <c r="G493" s="135">
        <v>1</v>
      </c>
      <c r="H493" s="135" t="s">
        <v>1742</v>
      </c>
      <c r="I493" s="178"/>
      <c r="J493" s="178"/>
      <c r="K493" s="179">
        <v>8.5990000000000007E-3</v>
      </c>
      <c r="L493" s="179">
        <v>0</v>
      </c>
      <c r="M493" s="180">
        <f>K493/(1-'Sac Parametreleri'!$B$27)</f>
        <v>1.0486585365853658E-2</v>
      </c>
      <c r="N493" s="180">
        <f t="shared" si="32"/>
        <v>1.887585365853657E-3</v>
      </c>
      <c r="O493" s="138">
        <f t="shared" si="33"/>
        <v>0.17999999999999988</v>
      </c>
      <c r="P493" s="181">
        <f>IF(E493="Hardox 450",INDEX('Sac Parametreleri'!$G$11:$G$24,MATCH(F493,'Sac Parametreleri'!$A$11:$A$24,0)),INDEX('Sac Parametreleri'!$E$11:$E$24,MATCH(F493,'Sac Parametreleri'!$A$11:$A$24,0)))</f>
        <v>75.36</v>
      </c>
      <c r="Q493" s="181">
        <f>INDEX('Sac Parametreleri'!$F$11:$F$24,MATCH(F493,'Sac Parametreleri'!$A$11:$A$24,0))</f>
        <v>30.829090909090905</v>
      </c>
      <c r="R493" s="182">
        <f t="shared" si="34"/>
        <v>0.73207653232815972</v>
      </c>
      <c r="S493" s="182">
        <f t="shared" si="35"/>
        <v>0.73207653232815972</v>
      </c>
      <c r="T493" s="139">
        <f>K493*F493*'Sac Parametreleri'!$B$6*G493</f>
        <v>0.81002580000000002</v>
      </c>
      <c r="U493" s="139">
        <f>N493*F493*'Sac Parametreleri'!$B$6*G493</f>
        <v>0.17781054146341449</v>
      </c>
      <c r="V493" s="139">
        <f>M493*F493*'Sac Parametreleri'!$B$6*G493</f>
        <v>0.98783634146341448</v>
      </c>
      <c r="W493" s="135" t="s">
        <v>1520</v>
      </c>
    </row>
    <row r="494" spans="1:23" ht="15" customHeight="1" x14ac:dyDescent="0.25">
      <c r="A494" s="135" t="s">
        <v>616</v>
      </c>
      <c r="B494" s="135">
        <v>1</v>
      </c>
      <c r="C494" s="135" t="s">
        <v>1972</v>
      </c>
      <c r="D494" s="135" t="s">
        <v>774</v>
      </c>
      <c r="E494" s="135" t="s">
        <v>1552</v>
      </c>
      <c r="F494" s="135">
        <v>8</v>
      </c>
      <c r="G494" s="135">
        <v>1</v>
      </c>
      <c r="H494" s="135" t="s">
        <v>1742</v>
      </c>
      <c r="I494" s="178"/>
      <c r="J494" s="178"/>
      <c r="K494" s="179">
        <v>1.4666E-2</v>
      </c>
      <c r="L494" s="179">
        <v>0</v>
      </c>
      <c r="M494" s="180">
        <f>K494/(1-'Sac Parametreleri'!$B$27)</f>
        <v>1.7885365853658537E-2</v>
      </c>
      <c r="N494" s="180">
        <f t="shared" si="32"/>
        <v>3.2193658536585363E-3</v>
      </c>
      <c r="O494" s="138">
        <f t="shared" si="33"/>
        <v>0.18</v>
      </c>
      <c r="P494" s="181">
        <f>IF(E494="Hardox 450",INDEX('Sac Parametreleri'!$G$11:$G$24,MATCH(F494,'Sac Parametreleri'!$A$11:$A$24,0)),INDEX('Sac Parametreleri'!$E$11:$E$24,MATCH(F494,'Sac Parametreleri'!$A$11:$A$24,0)))</f>
        <v>50.24</v>
      </c>
      <c r="Q494" s="181">
        <f>INDEX('Sac Parametreleri'!$F$11:$F$24,MATCH(F494,'Sac Parametreleri'!$A$11:$A$24,0))</f>
        <v>20.552727272727271</v>
      </c>
      <c r="R494" s="182">
        <f t="shared" si="34"/>
        <v>0.83239403210643015</v>
      </c>
      <c r="S494" s="182">
        <f t="shared" si="35"/>
        <v>0.83239403210643015</v>
      </c>
      <c r="T494" s="139">
        <f>K494*F494*'Sac Parametreleri'!$B$6*G494</f>
        <v>0.92102479999999998</v>
      </c>
      <c r="U494" s="139">
        <f>N494*F494*'Sac Parametreleri'!$B$6*G494</f>
        <v>0.20217617560975606</v>
      </c>
      <c r="V494" s="139">
        <f>M494*F494*'Sac Parametreleri'!$B$6*G494</f>
        <v>1.1232009756097561</v>
      </c>
      <c r="W494" s="135" t="s">
        <v>1520</v>
      </c>
    </row>
    <row r="495" spans="1:23" ht="15" customHeight="1" x14ac:dyDescent="0.25">
      <c r="A495" s="135" t="s">
        <v>616</v>
      </c>
      <c r="B495" s="135">
        <v>2</v>
      </c>
      <c r="C495" s="135" t="s">
        <v>1973</v>
      </c>
      <c r="D495" s="135" t="s">
        <v>774</v>
      </c>
      <c r="E495" s="135" t="s">
        <v>1552</v>
      </c>
      <c r="F495" s="135">
        <v>8</v>
      </c>
      <c r="G495" s="135">
        <v>1</v>
      </c>
      <c r="H495" s="135" t="s">
        <v>1742</v>
      </c>
      <c r="I495" s="178"/>
      <c r="J495" s="178"/>
      <c r="K495" s="179">
        <v>3.6150000000000002E-3</v>
      </c>
      <c r="L495" s="179">
        <v>0</v>
      </c>
      <c r="M495" s="180">
        <f>K495/(1-'Sac Parametreleri'!$B$27)</f>
        <v>4.4085365853658532E-3</v>
      </c>
      <c r="N495" s="180">
        <f t="shared" si="32"/>
        <v>7.9353658536585308E-4</v>
      </c>
      <c r="O495" s="138">
        <f t="shared" si="33"/>
        <v>0.17999999999999988</v>
      </c>
      <c r="P495" s="181">
        <f>IF(E495="Hardox 450",INDEX('Sac Parametreleri'!$G$11:$G$24,MATCH(F495,'Sac Parametreleri'!$A$11:$A$24,0)),INDEX('Sac Parametreleri'!$E$11:$E$24,MATCH(F495,'Sac Parametreleri'!$A$11:$A$24,0)))</f>
        <v>50.24</v>
      </c>
      <c r="Q495" s="181">
        <f>INDEX('Sac Parametreleri'!$F$11:$F$24,MATCH(F495,'Sac Parametreleri'!$A$11:$A$24,0))</f>
        <v>20.552727272727271</v>
      </c>
      <c r="R495" s="182">
        <f t="shared" si="34"/>
        <v>0.20517553702882485</v>
      </c>
      <c r="S495" s="182">
        <f t="shared" si="35"/>
        <v>0.20517553702882485</v>
      </c>
      <c r="T495" s="139">
        <f>K495*F495*'Sac Parametreleri'!$B$6*G495</f>
        <v>0.227022</v>
      </c>
      <c r="U495" s="139">
        <f>N495*F495*'Sac Parametreleri'!$B$6*G495</f>
        <v>4.9834097560975572E-2</v>
      </c>
      <c r="V495" s="139">
        <f>M495*F495*'Sac Parametreleri'!$B$6*G495</f>
        <v>0.27685609756097557</v>
      </c>
      <c r="W495" s="135" t="s">
        <v>1520</v>
      </c>
    </row>
    <row r="496" spans="1:23" ht="15" customHeight="1" x14ac:dyDescent="0.25">
      <c r="A496" s="135" t="s">
        <v>449</v>
      </c>
      <c r="B496" s="135">
        <v>1</v>
      </c>
      <c r="C496" s="135" t="s">
        <v>954</v>
      </c>
      <c r="D496" s="135" t="s">
        <v>738</v>
      </c>
      <c r="E496" s="135" t="s">
        <v>1552</v>
      </c>
      <c r="F496" s="135">
        <v>6</v>
      </c>
      <c r="G496" s="135">
        <v>1</v>
      </c>
      <c r="H496" s="135" t="s">
        <v>1746</v>
      </c>
      <c r="I496" s="178"/>
      <c r="J496" s="178"/>
      <c r="K496" s="179">
        <v>1.7686E-2</v>
      </c>
      <c r="L496" s="179">
        <v>0</v>
      </c>
      <c r="M496" s="180">
        <f>K496/(1-'Sac Parametreleri'!$B$29)</f>
        <v>2.2415716096324461E-2</v>
      </c>
      <c r="N496" s="180">
        <f t="shared" si="32"/>
        <v>4.7297160963244607E-3</v>
      </c>
      <c r="O496" s="138">
        <f t="shared" si="33"/>
        <v>0.21099999999999997</v>
      </c>
      <c r="P496" s="181">
        <f>IF(E496="Hardox 450",INDEX('Sac Parametreleri'!$G$11:$G$24,MATCH(F496,'Sac Parametreleri'!$A$11:$A$24,0)),INDEX('Sac Parametreleri'!$E$11:$E$24,MATCH(F496,'Sac Parametreleri'!$A$11:$A$24,0)))</f>
        <v>37.68</v>
      </c>
      <c r="Q496" s="181">
        <f>INDEX('Sac Parametreleri'!$F$11:$F$24,MATCH(F496,'Sac Parametreleri'!$A$11:$A$24,0))</f>
        <v>15.414545454545452</v>
      </c>
      <c r="R496" s="182">
        <f t="shared" si="34"/>
        <v>0.77171775875561699</v>
      </c>
      <c r="S496" s="182">
        <f t="shared" si="35"/>
        <v>0.77171775875561699</v>
      </c>
      <c r="T496" s="139">
        <f>K496*F496*'Sac Parametreleri'!$B$6*G496</f>
        <v>0.83301059999999993</v>
      </c>
      <c r="U496" s="139">
        <f>N496*F496*'Sac Parametreleri'!$B$6*G496</f>
        <v>0.22276962813688209</v>
      </c>
      <c r="V496" s="139">
        <f>M496*F496*'Sac Parametreleri'!$B$6*G496</f>
        <v>1.055780228136882</v>
      </c>
      <c r="W496" s="135" t="s">
        <v>1520</v>
      </c>
    </row>
    <row r="497" spans="1:23" ht="15" customHeight="1" x14ac:dyDescent="0.25">
      <c r="A497" s="135" t="s">
        <v>449</v>
      </c>
      <c r="B497" s="135">
        <v>2</v>
      </c>
      <c r="C497" s="135" t="s">
        <v>1974</v>
      </c>
      <c r="D497" s="135" t="s">
        <v>738</v>
      </c>
      <c r="E497" s="135" t="s">
        <v>1552</v>
      </c>
      <c r="F497" s="135">
        <v>6</v>
      </c>
      <c r="G497" s="135">
        <v>2</v>
      </c>
      <c r="H497" s="135" t="s">
        <v>1742</v>
      </c>
      <c r="I497" s="178"/>
      <c r="J497" s="178"/>
      <c r="K497" s="179">
        <v>2.4199999999999998E-3</v>
      </c>
      <c r="L497" s="179">
        <v>0</v>
      </c>
      <c r="M497" s="180">
        <f>K497/(1-'Sac Parametreleri'!$B$27)</f>
        <v>2.9512195121951215E-3</v>
      </c>
      <c r="N497" s="180">
        <f t="shared" si="32"/>
        <v>5.3121951219512169E-4</v>
      </c>
      <c r="O497" s="138">
        <f t="shared" si="33"/>
        <v>0.17999999999999994</v>
      </c>
      <c r="P497" s="181">
        <f>IF(E497="Hardox 450",INDEX('Sac Parametreleri'!$G$11:$G$24,MATCH(F497,'Sac Parametreleri'!$A$11:$A$24,0)),INDEX('Sac Parametreleri'!$E$11:$E$24,MATCH(F497,'Sac Parametreleri'!$A$11:$A$24,0)))</f>
        <v>37.68</v>
      </c>
      <c r="Q497" s="181">
        <f>INDEX('Sac Parametreleri'!$F$11:$F$24,MATCH(F497,'Sac Parametreleri'!$A$11:$A$24,0))</f>
        <v>15.414545454545452</v>
      </c>
      <c r="R497" s="182">
        <f t="shared" si="34"/>
        <v>0.10301344390243901</v>
      </c>
      <c r="S497" s="182">
        <f t="shared" si="35"/>
        <v>0.20602688780487802</v>
      </c>
      <c r="T497" s="139">
        <f>K497*F497*'Sac Parametreleri'!$B$6*G497</f>
        <v>0.22796399999999997</v>
      </c>
      <c r="U497" s="139">
        <f>N497*F497*'Sac Parametreleri'!$B$6*G497</f>
        <v>5.0040878048780463E-2</v>
      </c>
      <c r="V497" s="139">
        <f>M497*F497*'Sac Parametreleri'!$B$6*G497</f>
        <v>0.27800487804878043</v>
      </c>
      <c r="W497" s="135" t="s">
        <v>1520</v>
      </c>
    </row>
    <row r="498" spans="1:23" ht="15" customHeight="1" x14ac:dyDescent="0.25">
      <c r="A498" s="135" t="s">
        <v>581</v>
      </c>
      <c r="B498" s="135">
        <v>1</v>
      </c>
      <c r="C498" s="135" t="s">
        <v>1975</v>
      </c>
      <c r="D498" s="135" t="s">
        <v>1976</v>
      </c>
      <c r="E498" s="135" t="s">
        <v>1552</v>
      </c>
      <c r="F498" s="135">
        <v>4</v>
      </c>
      <c r="G498" s="135">
        <v>2</v>
      </c>
      <c r="H498" s="135" t="s">
        <v>1742</v>
      </c>
      <c r="I498" s="178"/>
      <c r="J498" s="178"/>
      <c r="K498" s="179">
        <v>1.0573000000000001E-2</v>
      </c>
      <c r="L498" s="179">
        <v>0</v>
      </c>
      <c r="M498" s="180">
        <f>K498/(1-'Sac Parametreleri'!$B$27)</f>
        <v>1.289390243902439E-2</v>
      </c>
      <c r="N498" s="180">
        <f t="shared" si="32"/>
        <v>2.3209024390243894E-3</v>
      </c>
      <c r="O498" s="138">
        <f t="shared" si="33"/>
        <v>0.17999999999999994</v>
      </c>
      <c r="P498" s="181">
        <f>IF(E498="Hardox 450",INDEX('Sac Parametreleri'!$G$11:$G$24,MATCH(F498,'Sac Parametreleri'!$A$11:$A$24,0)),INDEX('Sac Parametreleri'!$E$11:$E$24,MATCH(F498,'Sac Parametreleri'!$A$11:$A$24,0)))</f>
        <v>25.12</v>
      </c>
      <c r="Q498" s="181">
        <f>INDEX('Sac Parametreleri'!$F$11:$F$24,MATCH(F498,'Sac Parametreleri'!$A$11:$A$24,0))</f>
        <v>10.276363636363635</v>
      </c>
      <c r="R498" s="182">
        <f t="shared" si="34"/>
        <v>0.30004439184035481</v>
      </c>
      <c r="S498" s="182">
        <f t="shared" si="35"/>
        <v>0.60008878368070961</v>
      </c>
      <c r="T498" s="139">
        <f>K498*F498*'Sac Parametreleri'!$B$6*G498</f>
        <v>0.66398440000000003</v>
      </c>
      <c r="U498" s="139">
        <f>N498*F498*'Sac Parametreleri'!$B$6*G498</f>
        <v>0.14575267317073165</v>
      </c>
      <c r="V498" s="139">
        <f>M498*F498*'Sac Parametreleri'!$B$6*G498</f>
        <v>0.80973707317073162</v>
      </c>
      <c r="W498" s="135" t="s">
        <v>1520</v>
      </c>
    </row>
    <row r="499" spans="1:23" ht="15" customHeight="1" x14ac:dyDescent="0.25">
      <c r="A499" s="135" t="s">
        <v>581</v>
      </c>
      <c r="B499" s="135">
        <v>3</v>
      </c>
      <c r="C499" s="135" t="s">
        <v>1977</v>
      </c>
      <c r="D499" s="135" t="s">
        <v>749</v>
      </c>
      <c r="E499" s="135" t="s">
        <v>1552</v>
      </c>
      <c r="F499" s="135">
        <v>4</v>
      </c>
      <c r="G499" s="135">
        <v>2</v>
      </c>
      <c r="H499" s="135" t="s">
        <v>1742</v>
      </c>
      <c r="I499" s="178"/>
      <c r="J499" s="178"/>
      <c r="K499" s="179">
        <v>8.2799999999999996E-4</v>
      </c>
      <c r="L499" s="179">
        <v>0</v>
      </c>
      <c r="M499" s="180">
        <f>K499/(1-'Sac Parametreleri'!$B$27)</f>
        <v>1.0097560975609755E-3</v>
      </c>
      <c r="N499" s="180">
        <f t="shared" si="32"/>
        <v>1.8175609756097551E-4</v>
      </c>
      <c r="O499" s="138">
        <f t="shared" si="33"/>
        <v>0.17999999999999991</v>
      </c>
      <c r="P499" s="181">
        <f>IF(E499="Hardox 450",INDEX('Sac Parametreleri'!$G$11:$G$24,MATCH(F499,'Sac Parametreleri'!$A$11:$A$24,0)),INDEX('Sac Parametreleri'!$E$11:$E$24,MATCH(F499,'Sac Parametreleri'!$A$11:$A$24,0)))</f>
        <v>25.12</v>
      </c>
      <c r="Q499" s="181">
        <f>INDEX('Sac Parametreleri'!$F$11:$F$24,MATCH(F499,'Sac Parametreleri'!$A$11:$A$24,0))</f>
        <v>10.276363636363635</v>
      </c>
      <c r="R499" s="182">
        <f t="shared" si="34"/>
        <v>2.3497281419068736E-2</v>
      </c>
      <c r="S499" s="182">
        <f t="shared" si="35"/>
        <v>4.6994562838137473E-2</v>
      </c>
      <c r="T499" s="139">
        <f>K499*F499*'Sac Parametreleri'!$B$6*G499</f>
        <v>5.1998399999999993E-2</v>
      </c>
      <c r="U499" s="139">
        <f>N499*F499*'Sac Parametreleri'!$B$6*G499</f>
        <v>1.141428292682926E-2</v>
      </c>
      <c r="V499" s="139">
        <f>M499*F499*'Sac Parametreleri'!$B$6*G499</f>
        <v>6.341268292682925E-2</v>
      </c>
      <c r="W499" s="135" t="s">
        <v>1520</v>
      </c>
    </row>
    <row r="500" spans="1:23" ht="15" customHeight="1" x14ac:dyDescent="0.25">
      <c r="A500" s="135" t="s">
        <v>466</v>
      </c>
      <c r="B500" s="135">
        <v>1</v>
      </c>
      <c r="C500" s="135" t="s">
        <v>1973</v>
      </c>
      <c r="D500" s="135" t="s">
        <v>774</v>
      </c>
      <c r="E500" s="135" t="s">
        <v>1552</v>
      </c>
      <c r="F500" s="135">
        <v>8</v>
      </c>
      <c r="G500" s="135">
        <v>1</v>
      </c>
      <c r="H500" s="135" t="s">
        <v>1742</v>
      </c>
      <c r="I500" s="178"/>
      <c r="J500" s="178"/>
      <c r="K500" s="179">
        <v>3.6150000000000002E-3</v>
      </c>
      <c r="L500" s="179">
        <v>0</v>
      </c>
      <c r="M500" s="180">
        <f>K500/(1-'Sac Parametreleri'!$B$27)</f>
        <v>4.4085365853658532E-3</v>
      </c>
      <c r="N500" s="180">
        <f t="shared" si="32"/>
        <v>7.9353658536585308E-4</v>
      </c>
      <c r="O500" s="138">
        <f t="shared" si="33"/>
        <v>0.17999999999999988</v>
      </c>
      <c r="P500" s="181">
        <f>IF(E500="Hardox 450",INDEX('Sac Parametreleri'!$G$11:$G$24,MATCH(F500,'Sac Parametreleri'!$A$11:$A$24,0)),INDEX('Sac Parametreleri'!$E$11:$E$24,MATCH(F500,'Sac Parametreleri'!$A$11:$A$24,0)))</f>
        <v>50.24</v>
      </c>
      <c r="Q500" s="181">
        <f>INDEX('Sac Parametreleri'!$F$11:$F$24,MATCH(F500,'Sac Parametreleri'!$A$11:$A$24,0))</f>
        <v>20.552727272727271</v>
      </c>
      <c r="R500" s="182">
        <f t="shared" si="34"/>
        <v>0.20517553702882485</v>
      </c>
      <c r="S500" s="182">
        <f t="shared" si="35"/>
        <v>0.20517553702882485</v>
      </c>
      <c r="T500" s="139">
        <f>K500*F500*'Sac Parametreleri'!$B$6*G500</f>
        <v>0.227022</v>
      </c>
      <c r="U500" s="139">
        <f>N500*F500*'Sac Parametreleri'!$B$6*G500</f>
        <v>4.9834097560975572E-2</v>
      </c>
      <c r="V500" s="139">
        <f>M500*F500*'Sac Parametreleri'!$B$6*G500</f>
        <v>0.27685609756097557</v>
      </c>
      <c r="W500" s="135" t="s">
        <v>1520</v>
      </c>
    </row>
    <row r="501" spans="1:23" ht="15" customHeight="1" x14ac:dyDescent="0.25">
      <c r="A501" s="135" t="s">
        <v>466</v>
      </c>
      <c r="B501" s="135">
        <v>2</v>
      </c>
      <c r="C501" s="135" t="s">
        <v>1978</v>
      </c>
      <c r="D501" s="135" t="s">
        <v>749</v>
      </c>
      <c r="E501" s="135" t="s">
        <v>1552</v>
      </c>
      <c r="F501" s="135">
        <v>8</v>
      </c>
      <c r="G501" s="135">
        <v>1</v>
      </c>
      <c r="H501" s="135" t="s">
        <v>1742</v>
      </c>
      <c r="I501" s="178"/>
      <c r="J501" s="178"/>
      <c r="K501" s="179">
        <v>1.4666E-2</v>
      </c>
      <c r="L501" s="179">
        <v>0</v>
      </c>
      <c r="M501" s="180">
        <f>K501/(1-'Sac Parametreleri'!$B$27)</f>
        <v>1.7885365853658537E-2</v>
      </c>
      <c r="N501" s="180">
        <f t="shared" si="32"/>
        <v>3.2193658536585363E-3</v>
      </c>
      <c r="O501" s="138">
        <f t="shared" si="33"/>
        <v>0.18</v>
      </c>
      <c r="P501" s="181">
        <f>IF(E501="Hardox 450",INDEX('Sac Parametreleri'!$G$11:$G$24,MATCH(F501,'Sac Parametreleri'!$A$11:$A$24,0)),INDEX('Sac Parametreleri'!$E$11:$E$24,MATCH(F501,'Sac Parametreleri'!$A$11:$A$24,0)))</f>
        <v>50.24</v>
      </c>
      <c r="Q501" s="181">
        <f>INDEX('Sac Parametreleri'!$F$11:$F$24,MATCH(F501,'Sac Parametreleri'!$A$11:$A$24,0))</f>
        <v>20.552727272727271</v>
      </c>
      <c r="R501" s="182">
        <f t="shared" si="34"/>
        <v>0.83239403210643015</v>
      </c>
      <c r="S501" s="182">
        <f t="shared" si="35"/>
        <v>0.83239403210643015</v>
      </c>
      <c r="T501" s="139">
        <f>K501*F501*'Sac Parametreleri'!$B$6*G501</f>
        <v>0.92102479999999998</v>
      </c>
      <c r="U501" s="139">
        <f>N501*F501*'Sac Parametreleri'!$B$6*G501</f>
        <v>0.20217617560975606</v>
      </c>
      <c r="V501" s="139">
        <f>M501*F501*'Sac Parametreleri'!$B$6*G501</f>
        <v>1.1232009756097561</v>
      </c>
      <c r="W501" s="135" t="s">
        <v>1520</v>
      </c>
    </row>
    <row r="502" spans="1:23" ht="15" customHeight="1" x14ac:dyDescent="0.25">
      <c r="A502" s="135" t="s">
        <v>482</v>
      </c>
      <c r="B502" s="135">
        <v>1</v>
      </c>
      <c r="C502" s="135" t="s">
        <v>1973</v>
      </c>
      <c r="D502" s="135" t="s">
        <v>774</v>
      </c>
      <c r="E502" s="135" t="s">
        <v>1552</v>
      </c>
      <c r="F502" s="135">
        <v>8</v>
      </c>
      <c r="G502" s="135">
        <v>1</v>
      </c>
      <c r="H502" s="135" t="s">
        <v>1742</v>
      </c>
      <c r="I502" s="178"/>
      <c r="J502" s="178"/>
      <c r="K502" s="179">
        <v>3.6150000000000002E-3</v>
      </c>
      <c r="L502" s="179">
        <v>0</v>
      </c>
      <c r="M502" s="180">
        <f>K502/(1-'Sac Parametreleri'!$B$27)</f>
        <v>4.4085365853658532E-3</v>
      </c>
      <c r="N502" s="180">
        <f t="shared" si="32"/>
        <v>7.9353658536585308E-4</v>
      </c>
      <c r="O502" s="138">
        <f t="shared" si="33"/>
        <v>0.17999999999999988</v>
      </c>
      <c r="P502" s="181">
        <f>IF(E502="Hardox 450",INDEX('Sac Parametreleri'!$G$11:$G$24,MATCH(F502,'Sac Parametreleri'!$A$11:$A$24,0)),INDEX('Sac Parametreleri'!$E$11:$E$24,MATCH(F502,'Sac Parametreleri'!$A$11:$A$24,0)))</f>
        <v>50.24</v>
      </c>
      <c r="Q502" s="181">
        <f>INDEX('Sac Parametreleri'!$F$11:$F$24,MATCH(F502,'Sac Parametreleri'!$A$11:$A$24,0))</f>
        <v>20.552727272727271</v>
      </c>
      <c r="R502" s="182">
        <f t="shared" si="34"/>
        <v>0.20517553702882485</v>
      </c>
      <c r="S502" s="182">
        <f t="shared" si="35"/>
        <v>0.20517553702882485</v>
      </c>
      <c r="T502" s="139">
        <f>K502*F502*'Sac Parametreleri'!$B$6*G502</f>
        <v>0.227022</v>
      </c>
      <c r="U502" s="139">
        <f>N502*F502*'Sac Parametreleri'!$B$6*G502</f>
        <v>4.9834097560975572E-2</v>
      </c>
      <c r="V502" s="139">
        <f>M502*F502*'Sac Parametreleri'!$B$6*G502</f>
        <v>0.27685609756097557</v>
      </c>
      <c r="W502" s="135" t="s">
        <v>1520</v>
      </c>
    </row>
    <row r="503" spans="1:23" ht="15" customHeight="1" x14ac:dyDescent="0.25">
      <c r="A503" s="135" t="s">
        <v>482</v>
      </c>
      <c r="B503" s="135">
        <v>2</v>
      </c>
      <c r="C503" s="135" t="s">
        <v>1010</v>
      </c>
      <c r="D503" s="135" t="s">
        <v>749</v>
      </c>
      <c r="E503" s="135" t="s">
        <v>1552</v>
      </c>
      <c r="F503" s="135">
        <v>8</v>
      </c>
      <c r="G503" s="135">
        <v>1</v>
      </c>
      <c r="H503" s="135" t="s">
        <v>1746</v>
      </c>
      <c r="I503" s="178"/>
      <c r="J503" s="178"/>
      <c r="K503" s="179">
        <v>1.3169E-2</v>
      </c>
      <c r="L503" s="179">
        <v>0</v>
      </c>
      <c r="M503" s="180">
        <f>K503/(1-'Sac Parametreleri'!$B$29)</f>
        <v>1.6690747782002534E-2</v>
      </c>
      <c r="N503" s="180">
        <f t="shared" si="32"/>
        <v>3.5217477820025343E-3</v>
      </c>
      <c r="O503" s="138">
        <f t="shared" si="33"/>
        <v>0.21099999999999997</v>
      </c>
      <c r="P503" s="181">
        <f>IF(E503="Hardox 450",INDEX('Sac Parametreleri'!$G$11:$G$24,MATCH(F503,'Sac Parametreleri'!$A$11:$A$24,0)),INDEX('Sac Parametreleri'!$E$11:$E$24,MATCH(F503,'Sac Parametreleri'!$A$11:$A$24,0)))</f>
        <v>50.24</v>
      </c>
      <c r="Q503" s="181">
        <f>INDEX('Sac Parametreleri'!$F$11:$F$24,MATCH(F503,'Sac Parametreleri'!$A$11:$A$24,0))</f>
        <v>20.552727272727271</v>
      </c>
      <c r="R503" s="182">
        <f t="shared" si="34"/>
        <v>0.7661616468809771</v>
      </c>
      <c r="S503" s="182">
        <f t="shared" si="35"/>
        <v>0.7661616468809771</v>
      </c>
      <c r="T503" s="139">
        <f>K503*F503*'Sac Parametreleri'!$B$6*G503</f>
        <v>0.8270132</v>
      </c>
      <c r="U503" s="139">
        <f>N503*F503*'Sac Parametreleri'!$B$6*G503</f>
        <v>0.22116576070975916</v>
      </c>
      <c r="V503" s="139">
        <f>M503*F503*'Sac Parametreleri'!$B$6*G503</f>
        <v>1.0481789607097591</v>
      </c>
      <c r="W503" s="135" t="s">
        <v>1520</v>
      </c>
    </row>
    <row r="504" spans="1:23" ht="15" customHeight="1" x14ac:dyDescent="0.25">
      <c r="A504" s="135" t="s">
        <v>630</v>
      </c>
      <c r="B504" s="135">
        <v>1</v>
      </c>
      <c r="C504" s="135" t="s">
        <v>806</v>
      </c>
      <c r="D504" s="135" t="s">
        <v>807</v>
      </c>
      <c r="E504" s="135" t="s">
        <v>1552</v>
      </c>
      <c r="F504" s="135">
        <v>5</v>
      </c>
      <c r="G504" s="135">
        <v>1</v>
      </c>
      <c r="H504" s="135" t="s">
        <v>1765</v>
      </c>
      <c r="I504" s="178"/>
      <c r="J504" s="178"/>
      <c r="K504" s="179">
        <v>9.5029999999999993E-3</v>
      </c>
      <c r="L504" s="179">
        <v>0</v>
      </c>
      <c r="M504" s="180">
        <f>K504/(1-'Sac Parametreleri'!$B$29)</f>
        <v>1.2044359949302913E-2</v>
      </c>
      <c r="N504" s="180">
        <f t="shared" si="32"/>
        <v>2.541359949302914E-3</v>
      </c>
      <c r="O504" s="138">
        <f t="shared" si="33"/>
        <v>0.21099999999999994</v>
      </c>
      <c r="P504" s="181">
        <f>IF(E504="Hardox 450",INDEX('Sac Parametreleri'!$G$11:$G$24,MATCH(F504,'Sac Parametreleri'!$A$11:$A$24,0)),INDEX('Sac Parametreleri'!$E$11:$E$24,MATCH(F504,'Sac Parametreleri'!$A$11:$A$24,0)))</f>
        <v>31.400000000000002</v>
      </c>
      <c r="Q504" s="181">
        <f>INDEX('Sac Parametreleri'!$F$11:$F$24,MATCH(F504,'Sac Parametreleri'!$A$11:$A$24,0))</f>
        <v>12.845454545454546</v>
      </c>
      <c r="R504" s="182">
        <f t="shared" si="34"/>
        <v>0.34554797869570225</v>
      </c>
      <c r="S504" s="182">
        <f t="shared" si="35"/>
        <v>0.34554797869570225</v>
      </c>
      <c r="T504" s="139">
        <f>K504*F504*'Sac Parametreleri'!$B$6*G504</f>
        <v>0.37299274999999993</v>
      </c>
      <c r="U504" s="139">
        <f>N504*F504*'Sac Parametreleri'!$B$6*G504</f>
        <v>9.9748378010139374E-2</v>
      </c>
      <c r="V504" s="139">
        <f>M504*F504*'Sac Parametreleri'!$B$6*G504</f>
        <v>0.47274112801013929</v>
      </c>
      <c r="W504" s="135" t="s">
        <v>1520</v>
      </c>
    </row>
    <row r="505" spans="1:23" ht="15" customHeight="1" x14ac:dyDescent="0.25">
      <c r="A505" s="135" t="s">
        <v>630</v>
      </c>
      <c r="B505" s="135">
        <v>2</v>
      </c>
      <c r="C505" s="135" t="s">
        <v>808</v>
      </c>
      <c r="D505" s="135" t="s">
        <v>809</v>
      </c>
      <c r="E505" s="135" t="s">
        <v>1552</v>
      </c>
      <c r="F505" s="135">
        <v>5</v>
      </c>
      <c r="G505" s="135">
        <v>1</v>
      </c>
      <c r="H505" s="135" t="s">
        <v>1830</v>
      </c>
      <c r="I505" s="178"/>
      <c r="J505" s="178"/>
      <c r="K505" s="179">
        <v>8.9169999999999996E-3</v>
      </c>
      <c r="L505" s="179">
        <v>0</v>
      </c>
      <c r="M505" s="180">
        <f>K505/(1-'Sac Parametreleri'!$B$29)</f>
        <v>1.1301647655259822E-2</v>
      </c>
      <c r="N505" s="180">
        <f t="shared" si="32"/>
        <v>2.3846476552598223E-3</v>
      </c>
      <c r="O505" s="138">
        <f t="shared" si="33"/>
        <v>0.21099999999999999</v>
      </c>
      <c r="P505" s="181">
        <f>IF(E505="Hardox 450",INDEX('Sac Parametreleri'!$G$11:$G$24,MATCH(F505,'Sac Parametreleri'!$A$11:$A$24,0)),INDEX('Sac Parametreleri'!$E$11:$E$24,MATCH(F505,'Sac Parametreleri'!$A$11:$A$24,0)))</f>
        <v>31.400000000000002</v>
      </c>
      <c r="Q505" s="181">
        <f>INDEX('Sac Parametreleri'!$F$11:$F$24,MATCH(F505,'Sac Parametreleri'!$A$11:$A$24,0))</f>
        <v>12.845454545454546</v>
      </c>
      <c r="R505" s="182">
        <f t="shared" si="34"/>
        <v>0.32423985331259364</v>
      </c>
      <c r="S505" s="182">
        <f t="shared" si="35"/>
        <v>0.32423985331259364</v>
      </c>
      <c r="T505" s="139">
        <f>K505*F505*'Sac Parametreleri'!$B$6*G505</f>
        <v>0.34999225</v>
      </c>
      <c r="U505" s="139">
        <f>N505*F505*'Sac Parametreleri'!$B$6*G505</f>
        <v>9.359742046894802E-2</v>
      </c>
      <c r="V505" s="139">
        <f>M505*F505*'Sac Parametreleri'!$B$6*G505</f>
        <v>0.44358967046894798</v>
      </c>
      <c r="W505" s="135" t="s">
        <v>1520</v>
      </c>
    </row>
    <row r="506" spans="1:23" ht="15" customHeight="1" x14ac:dyDescent="0.25">
      <c r="A506" s="135" t="s">
        <v>630</v>
      </c>
      <c r="B506" s="135">
        <v>3</v>
      </c>
      <c r="C506" s="135" t="s">
        <v>1979</v>
      </c>
      <c r="D506" s="135" t="s">
        <v>1980</v>
      </c>
      <c r="E506" s="135" t="s">
        <v>1552</v>
      </c>
      <c r="F506" s="135">
        <v>3</v>
      </c>
      <c r="G506" s="135">
        <v>2</v>
      </c>
      <c r="H506" s="135" t="s">
        <v>1742</v>
      </c>
      <c r="I506" s="178"/>
      <c r="J506" s="178"/>
      <c r="K506" s="179">
        <v>2.1229999999999999E-3</v>
      </c>
      <c r="L506" s="179">
        <v>0</v>
      </c>
      <c r="M506" s="180">
        <f>K506/(1-'Sac Parametreleri'!$B$27)</f>
        <v>2.589024390243902E-3</v>
      </c>
      <c r="N506" s="180">
        <f t="shared" si="32"/>
        <v>4.6602439024390208E-4</v>
      </c>
      <c r="O506" s="138">
        <f t="shared" si="33"/>
        <v>0.17999999999999988</v>
      </c>
      <c r="P506" s="181">
        <f>IF(E506="Hardox 450",INDEX('Sac Parametreleri'!$G$11:$G$24,MATCH(F506,'Sac Parametreleri'!$A$11:$A$24,0)),INDEX('Sac Parametreleri'!$E$11:$E$24,MATCH(F506,'Sac Parametreleri'!$A$11:$A$24,0)))</f>
        <v>18.84</v>
      </c>
      <c r="Q506" s="181">
        <f>INDEX('Sac Parametreleri'!$F$11:$F$24,MATCH(F506,'Sac Parametreleri'!$A$11:$A$24,0))</f>
        <v>7.7072727272727262</v>
      </c>
      <c r="R506" s="182">
        <f t="shared" si="34"/>
        <v>4.5185442439024379E-2</v>
      </c>
      <c r="S506" s="182">
        <f t="shared" si="35"/>
        <v>9.0370884878048757E-2</v>
      </c>
      <c r="T506" s="139">
        <f>K506*F506*'Sac Parametreleri'!$B$6*G506</f>
        <v>9.9993299999999993E-2</v>
      </c>
      <c r="U506" s="139">
        <f>N506*F506*'Sac Parametreleri'!$B$6*G506</f>
        <v>2.1949748780487787E-2</v>
      </c>
      <c r="V506" s="139">
        <f>M506*F506*'Sac Parametreleri'!$B$6*G506</f>
        <v>0.12194304878048778</v>
      </c>
      <c r="W506" s="135" t="s">
        <v>1520</v>
      </c>
    </row>
    <row r="507" spans="1:23" ht="15" customHeight="1" x14ac:dyDescent="0.25">
      <c r="A507" s="135" t="s">
        <v>630</v>
      </c>
      <c r="B507" s="135">
        <v>4</v>
      </c>
      <c r="C507" s="135" t="s">
        <v>1981</v>
      </c>
      <c r="D507" s="135" t="s">
        <v>1982</v>
      </c>
      <c r="E507" s="135" t="s">
        <v>1552</v>
      </c>
      <c r="F507" s="135">
        <v>3</v>
      </c>
      <c r="G507" s="135">
        <v>2</v>
      </c>
      <c r="H507" s="135" t="s">
        <v>1742</v>
      </c>
      <c r="I507" s="178"/>
      <c r="J507" s="178"/>
      <c r="K507" s="179">
        <v>8.92E-4</v>
      </c>
      <c r="L507" s="179">
        <v>0</v>
      </c>
      <c r="M507" s="180">
        <f>K507/(1-'Sac Parametreleri'!$B$27)</f>
        <v>1.0878048780487803E-3</v>
      </c>
      <c r="N507" s="180">
        <f t="shared" si="32"/>
        <v>1.9580487804878033E-4</v>
      </c>
      <c r="O507" s="138">
        <f t="shared" si="33"/>
        <v>0.17999999999999988</v>
      </c>
      <c r="P507" s="181">
        <f>IF(E507="Hardox 450",INDEX('Sac Parametreleri'!$G$11:$G$24,MATCH(F507,'Sac Parametreleri'!$A$11:$A$24,0)),INDEX('Sac Parametreleri'!$E$11:$E$24,MATCH(F507,'Sac Parametreleri'!$A$11:$A$24,0)))</f>
        <v>18.84</v>
      </c>
      <c r="Q507" s="181">
        <f>INDEX('Sac Parametreleri'!$F$11:$F$24,MATCH(F507,'Sac Parametreleri'!$A$11:$A$24,0))</f>
        <v>7.7072727272727262</v>
      </c>
      <c r="R507" s="182">
        <f t="shared" si="34"/>
        <v>1.8985122305986694E-2</v>
      </c>
      <c r="S507" s="182">
        <f t="shared" si="35"/>
        <v>3.7970244611973389E-2</v>
      </c>
      <c r="T507" s="139">
        <f>K507*F507*'Sac Parametreleri'!$B$6*G507</f>
        <v>4.2013200000000001E-2</v>
      </c>
      <c r="U507" s="139">
        <f>N507*F507*'Sac Parametreleri'!$B$6*G507</f>
        <v>9.2224097560975535E-3</v>
      </c>
      <c r="V507" s="139">
        <f>M507*F507*'Sac Parametreleri'!$B$6*G507</f>
        <v>5.1235609756097554E-2</v>
      </c>
      <c r="W507" s="135" t="s">
        <v>1520</v>
      </c>
    </row>
    <row r="508" spans="1:23" ht="15" customHeight="1" x14ac:dyDescent="0.25">
      <c r="A508" s="135" t="s">
        <v>508</v>
      </c>
      <c r="B508" s="135">
        <v>1</v>
      </c>
      <c r="C508" s="135" t="s">
        <v>1983</v>
      </c>
      <c r="D508" s="135" t="s">
        <v>749</v>
      </c>
      <c r="E508" s="135" t="s">
        <v>1552</v>
      </c>
      <c r="F508" s="135">
        <v>6</v>
      </c>
      <c r="G508" s="135">
        <v>1</v>
      </c>
      <c r="H508" s="135" t="s">
        <v>1742</v>
      </c>
      <c r="I508" s="178"/>
      <c r="J508" s="178"/>
      <c r="K508" s="179">
        <v>7.6220000000000003E-3</v>
      </c>
      <c r="L508" s="179">
        <v>0</v>
      </c>
      <c r="M508" s="180">
        <f>K508/(1-'Sac Parametreleri'!$B$27)</f>
        <v>9.2951219512195111E-3</v>
      </c>
      <c r="N508" s="180">
        <f t="shared" si="32"/>
        <v>1.6731219512195108E-3</v>
      </c>
      <c r="O508" s="138">
        <f t="shared" si="33"/>
        <v>0.17999999999999988</v>
      </c>
      <c r="P508" s="181">
        <f>IF(E508="Hardox 450",INDEX('Sac Parametreleri'!$G$11:$G$24,MATCH(F508,'Sac Parametreleri'!$A$11:$A$24,0)),INDEX('Sac Parametreleri'!$E$11:$E$24,MATCH(F508,'Sac Parametreleri'!$A$11:$A$24,0)))</f>
        <v>37.68</v>
      </c>
      <c r="Q508" s="181">
        <f>INDEX('Sac Parametreleri'!$F$11:$F$24,MATCH(F508,'Sac Parametreleri'!$A$11:$A$24,0))</f>
        <v>15.414545454545452</v>
      </c>
      <c r="R508" s="182">
        <f t="shared" si="34"/>
        <v>0.3244497807538802</v>
      </c>
      <c r="S508" s="182">
        <f t="shared" si="35"/>
        <v>0.3244497807538802</v>
      </c>
      <c r="T508" s="139">
        <f>K508*F508*'Sac Parametreleri'!$B$6*G508</f>
        <v>0.35899619999999999</v>
      </c>
      <c r="U508" s="139">
        <f>N508*F508*'Sac Parametreleri'!$B$6*G508</f>
        <v>7.8804043902438961E-2</v>
      </c>
      <c r="V508" s="139">
        <f>M508*F508*'Sac Parametreleri'!$B$6*G508</f>
        <v>0.43780024390243899</v>
      </c>
      <c r="W508" s="135" t="s">
        <v>1520</v>
      </c>
    </row>
    <row r="509" spans="1:23" ht="15" customHeight="1" x14ac:dyDescent="0.25">
      <c r="A509" s="135" t="s">
        <v>508</v>
      </c>
      <c r="B509" s="135">
        <v>3</v>
      </c>
      <c r="C509" s="135" t="s">
        <v>1984</v>
      </c>
      <c r="D509" s="135" t="s">
        <v>749</v>
      </c>
      <c r="E509" s="135" t="s">
        <v>1552</v>
      </c>
      <c r="F509" s="135">
        <v>3</v>
      </c>
      <c r="G509" s="135">
        <v>1</v>
      </c>
      <c r="H509" s="135" t="s">
        <v>1742</v>
      </c>
      <c r="I509" s="178"/>
      <c r="J509" s="178"/>
      <c r="K509" s="179">
        <v>1.274E-3</v>
      </c>
      <c r="L509" s="179">
        <v>0</v>
      </c>
      <c r="M509" s="180">
        <f>K509/(1-'Sac Parametreleri'!$B$27)</f>
        <v>1.5536585365853656E-3</v>
      </c>
      <c r="N509" s="180">
        <f t="shared" si="32"/>
        <v>2.7965853658536567E-4</v>
      </c>
      <c r="O509" s="138">
        <f t="shared" si="33"/>
        <v>0.17999999999999991</v>
      </c>
      <c r="P509" s="181">
        <f>IF(E509="Hardox 450",INDEX('Sac Parametreleri'!$G$11:$G$24,MATCH(F509,'Sac Parametreleri'!$A$11:$A$24,0)),INDEX('Sac Parametreleri'!$E$11:$E$24,MATCH(F509,'Sac Parametreleri'!$A$11:$A$24,0)))</f>
        <v>18.84</v>
      </c>
      <c r="Q509" s="181">
        <f>INDEX('Sac Parametreleri'!$F$11:$F$24,MATCH(F509,'Sac Parametreleri'!$A$11:$A$24,0))</f>
        <v>7.7072727272727262</v>
      </c>
      <c r="R509" s="182">
        <f t="shared" si="34"/>
        <v>2.7115522217294897E-2</v>
      </c>
      <c r="S509" s="182">
        <f t="shared" si="35"/>
        <v>2.7115522217294897E-2</v>
      </c>
      <c r="T509" s="139">
        <f>K509*F509*'Sac Parametreleri'!$B$6*G509</f>
        <v>3.0002699999999997E-2</v>
      </c>
      <c r="U509" s="139">
        <f>N509*F509*'Sac Parametreleri'!$B$6*G509</f>
        <v>6.5859585365853615E-3</v>
      </c>
      <c r="V509" s="139">
        <f>M509*F509*'Sac Parametreleri'!$B$6*G509</f>
        <v>3.6588658536585356E-2</v>
      </c>
      <c r="W509" s="135" t="s">
        <v>1520</v>
      </c>
    </row>
    <row r="510" spans="1:23" ht="15" customHeight="1" x14ac:dyDescent="0.25">
      <c r="A510" s="135" t="s">
        <v>500</v>
      </c>
      <c r="B510" s="135">
        <v>2</v>
      </c>
      <c r="C510" s="135" t="s">
        <v>876</v>
      </c>
      <c r="D510" s="135" t="s">
        <v>877</v>
      </c>
      <c r="E510" s="135" t="s">
        <v>1552</v>
      </c>
      <c r="F510" s="135">
        <v>4</v>
      </c>
      <c r="G510" s="135">
        <v>1</v>
      </c>
      <c r="H510" s="135" t="s">
        <v>1765</v>
      </c>
      <c r="I510" s="178"/>
      <c r="J510" s="178"/>
      <c r="K510" s="179">
        <v>2.9299999999999999E-3</v>
      </c>
      <c r="L510" s="179">
        <v>0</v>
      </c>
      <c r="M510" s="180">
        <f>K510/(1-'Sac Parametreleri'!$B$29)</f>
        <v>3.7135614702154623E-3</v>
      </c>
      <c r="N510" s="180">
        <f t="shared" si="32"/>
        <v>7.8356147021546238E-4</v>
      </c>
      <c r="O510" s="138">
        <f t="shared" si="33"/>
        <v>0.21099999999999997</v>
      </c>
      <c r="P510" s="181">
        <f>IF(E510="Hardox 450",INDEX('Sac Parametreleri'!$G$11:$G$24,MATCH(F510,'Sac Parametreleri'!$A$11:$A$24,0)),INDEX('Sac Parametreleri'!$E$11:$E$24,MATCH(F510,'Sac Parametreleri'!$A$11:$A$24,0)))</f>
        <v>25.12</v>
      </c>
      <c r="Q510" s="181">
        <f>INDEX('Sac Parametreleri'!$F$11:$F$24,MATCH(F510,'Sac Parametreleri'!$A$11:$A$24,0))</f>
        <v>10.276363636363635</v>
      </c>
      <c r="R510" s="182">
        <f t="shared" si="34"/>
        <v>8.5232501532434612E-2</v>
      </c>
      <c r="S510" s="182">
        <f t="shared" si="35"/>
        <v>8.5232501532434612E-2</v>
      </c>
      <c r="T510" s="139">
        <f>K510*F510*'Sac Parametreleri'!$B$6*G510</f>
        <v>9.2001999999999987E-2</v>
      </c>
      <c r="U510" s="139">
        <f>N510*F510*'Sac Parametreleri'!$B$6*G510</f>
        <v>2.4603830164765517E-2</v>
      </c>
      <c r="V510" s="139">
        <f>M510*F510*'Sac Parametreleri'!$B$6*G510</f>
        <v>0.11660583016476551</v>
      </c>
      <c r="W510" s="135" t="s">
        <v>1520</v>
      </c>
    </row>
    <row r="511" spans="1:23" ht="15" customHeight="1" x14ac:dyDescent="0.25">
      <c r="A511" s="135" t="s">
        <v>590</v>
      </c>
      <c r="B511" s="135">
        <v>2</v>
      </c>
      <c r="C511" s="135" t="s">
        <v>1732</v>
      </c>
      <c r="D511" s="135" t="s">
        <v>1738</v>
      </c>
      <c r="E511" s="135" t="s">
        <v>1552</v>
      </c>
      <c r="F511" s="135">
        <v>10</v>
      </c>
      <c r="G511" s="135">
        <v>1</v>
      </c>
      <c r="H511" s="135" t="s">
        <v>1739</v>
      </c>
      <c r="I511" s="178">
        <v>120</v>
      </c>
      <c r="J511" s="178">
        <v>70</v>
      </c>
      <c r="K511" s="179">
        <v>8.0099999999999998E-3</v>
      </c>
      <c r="L511" s="179">
        <v>3.1799999999999998E-4</v>
      </c>
      <c r="M511" s="180">
        <f>I511*J511/1000000</f>
        <v>8.3999999999999995E-3</v>
      </c>
      <c r="N511" s="180">
        <f t="shared" si="32"/>
        <v>3.8999999999999972E-4</v>
      </c>
      <c r="O511" s="138">
        <f t="shared" si="33"/>
        <v>4.6428571428571395E-2</v>
      </c>
      <c r="P511" s="181">
        <f>IF(E511="Hardox 450",INDEX('Sac Parametreleri'!$G$11:$G$24,MATCH(F511,'Sac Parametreleri'!$A$11:$A$24,0)),INDEX('Sac Parametreleri'!$E$11:$E$24,MATCH(F511,'Sac Parametreleri'!$A$11:$A$24,0)))</f>
        <v>62.800000000000004</v>
      </c>
      <c r="Q511" s="181">
        <f>INDEX('Sac Parametreleri'!$F$11:$F$24,MATCH(F511,'Sac Parametreleri'!$A$11:$A$24,0))</f>
        <v>25.690909090909091</v>
      </c>
      <c r="R511" s="182">
        <f t="shared" si="34"/>
        <v>0.51750054545454549</v>
      </c>
      <c r="S511" s="182">
        <f t="shared" si="35"/>
        <v>0.51750054545454549</v>
      </c>
      <c r="T511" s="139">
        <f>K511*F511*'Sac Parametreleri'!$B$6*G511</f>
        <v>0.62878500000000004</v>
      </c>
      <c r="U511" s="139">
        <f>N511*F511*'Sac Parametreleri'!$B$6*G511</f>
        <v>3.0614999999999976E-2</v>
      </c>
      <c r="V511" s="139">
        <f>M511*F511*'Sac Parametreleri'!$B$6*G511</f>
        <v>0.65939999999999988</v>
      </c>
      <c r="W511" s="135" t="s">
        <v>1520</v>
      </c>
    </row>
    <row r="512" spans="1:23" ht="15" customHeight="1" x14ac:dyDescent="0.25">
      <c r="A512" s="135" t="s">
        <v>554</v>
      </c>
      <c r="B512" s="135">
        <v>1</v>
      </c>
      <c r="C512" s="135" t="s">
        <v>1985</v>
      </c>
      <c r="D512" s="135" t="s">
        <v>749</v>
      </c>
      <c r="E512" s="135" t="s">
        <v>1552</v>
      </c>
      <c r="F512" s="135">
        <v>6</v>
      </c>
      <c r="G512" s="135">
        <v>1</v>
      </c>
      <c r="H512" s="135" t="s">
        <v>1742</v>
      </c>
      <c r="I512" s="178"/>
      <c r="J512" s="178"/>
      <c r="K512" s="179">
        <v>1.0382000000000001E-2</v>
      </c>
      <c r="L512" s="179">
        <v>0</v>
      </c>
      <c r="M512" s="180">
        <f>K512/(1-'Sac Parametreleri'!$B$27)</f>
        <v>1.2660975609756098E-2</v>
      </c>
      <c r="N512" s="180">
        <f t="shared" si="32"/>
        <v>2.2789756097560971E-3</v>
      </c>
      <c r="O512" s="138">
        <f t="shared" si="33"/>
        <v>0.17999999999999997</v>
      </c>
      <c r="P512" s="181">
        <f>IF(E512="Hardox 450",INDEX('Sac Parametreleri'!$G$11:$G$24,MATCH(F512,'Sac Parametreleri'!$A$11:$A$24,0)),INDEX('Sac Parametreleri'!$E$11:$E$24,MATCH(F512,'Sac Parametreleri'!$A$11:$A$24,0)))</f>
        <v>37.68</v>
      </c>
      <c r="Q512" s="181">
        <f>INDEX('Sac Parametreleri'!$F$11:$F$24,MATCH(F512,'Sac Parametreleri'!$A$11:$A$24,0))</f>
        <v>15.414545454545452</v>
      </c>
      <c r="R512" s="182">
        <f t="shared" si="34"/>
        <v>0.44193618784922395</v>
      </c>
      <c r="S512" s="182">
        <f t="shared" si="35"/>
        <v>0.44193618784922395</v>
      </c>
      <c r="T512" s="139">
        <f>K512*F512*'Sac Parametreleri'!$B$6*G512</f>
        <v>0.48899219999999999</v>
      </c>
      <c r="U512" s="139">
        <f>N512*F512*'Sac Parametreleri'!$B$6*G512</f>
        <v>0.10733975121951217</v>
      </c>
      <c r="V512" s="139">
        <f>M512*F512*'Sac Parametreleri'!$B$6*G512</f>
        <v>0.59633195121951221</v>
      </c>
      <c r="W512" s="135" t="s">
        <v>1520</v>
      </c>
    </row>
    <row r="513" spans="1:23" ht="15" customHeight="1" x14ac:dyDescent="0.25">
      <c r="A513" s="135" t="s">
        <v>554</v>
      </c>
      <c r="B513" s="135">
        <v>2</v>
      </c>
      <c r="C513" s="135" t="s">
        <v>1986</v>
      </c>
      <c r="D513" s="135" t="s">
        <v>749</v>
      </c>
      <c r="E513" s="135" t="s">
        <v>1552</v>
      </c>
      <c r="F513" s="135">
        <v>6</v>
      </c>
      <c r="G513" s="135">
        <v>2</v>
      </c>
      <c r="H513" s="135" t="s">
        <v>1742</v>
      </c>
      <c r="I513" s="178"/>
      <c r="J513" s="178"/>
      <c r="K513" s="179">
        <v>2.7390000000000001E-3</v>
      </c>
      <c r="L513" s="179">
        <v>0</v>
      </c>
      <c r="M513" s="180">
        <f>K513/(1-'Sac Parametreleri'!$B$27)</f>
        <v>3.3402439024390242E-3</v>
      </c>
      <c r="N513" s="180">
        <f t="shared" si="32"/>
        <v>6.0124390243902412E-4</v>
      </c>
      <c r="O513" s="138">
        <f t="shared" si="33"/>
        <v>0.17999999999999994</v>
      </c>
      <c r="P513" s="181">
        <f>IF(E513="Hardox 450",INDEX('Sac Parametreleri'!$G$11:$G$24,MATCH(F513,'Sac Parametreleri'!$A$11:$A$24,0)),INDEX('Sac Parametreleri'!$E$11:$E$24,MATCH(F513,'Sac Parametreleri'!$A$11:$A$24,0)))</f>
        <v>37.68</v>
      </c>
      <c r="Q513" s="181">
        <f>INDEX('Sac Parametreleri'!$F$11:$F$24,MATCH(F513,'Sac Parametreleri'!$A$11:$A$24,0))</f>
        <v>15.414545454545452</v>
      </c>
      <c r="R513" s="182">
        <f t="shared" si="34"/>
        <v>0.11659248878048781</v>
      </c>
      <c r="S513" s="182">
        <f t="shared" si="35"/>
        <v>0.23318497756097561</v>
      </c>
      <c r="T513" s="139">
        <f>K513*F513*'Sac Parametreleri'!$B$6*G513</f>
        <v>0.25801380000000002</v>
      </c>
      <c r="U513" s="139">
        <f>N513*F513*'Sac Parametreleri'!$B$6*G513</f>
        <v>5.663717560975607E-2</v>
      </c>
      <c r="V513" s="139">
        <f>M513*F513*'Sac Parametreleri'!$B$6*G513</f>
        <v>0.31465097560975608</v>
      </c>
      <c r="W513" s="135" t="s">
        <v>1520</v>
      </c>
    </row>
    <row r="514" spans="1:23" ht="15" customHeight="1" x14ac:dyDescent="0.25">
      <c r="A514" s="135" t="s">
        <v>472</v>
      </c>
      <c r="B514" s="135">
        <v>1</v>
      </c>
      <c r="C514" s="135" t="s">
        <v>1987</v>
      </c>
      <c r="D514" s="135" t="s">
        <v>1988</v>
      </c>
      <c r="E514" s="135" t="s">
        <v>1552</v>
      </c>
      <c r="F514" s="135">
        <v>8</v>
      </c>
      <c r="G514" s="135">
        <v>1</v>
      </c>
      <c r="H514" s="135" t="s">
        <v>1742</v>
      </c>
      <c r="I514" s="178"/>
      <c r="J514" s="178"/>
      <c r="K514" s="179">
        <v>4.9360000000000003E-3</v>
      </c>
      <c r="L514" s="179">
        <v>0</v>
      </c>
      <c r="M514" s="180">
        <f>K514/(1-'Sac Parametreleri'!$B$27)</f>
        <v>6.019512195121951E-3</v>
      </c>
      <c r="N514" s="180">
        <f t="shared" ref="N514:N577" si="36">MAX(M514-K514,0)</f>
        <v>1.0835121951219507E-3</v>
      </c>
      <c r="O514" s="138">
        <f t="shared" ref="O514:O577" si="37">IF(M514=0,0,N514/M514)</f>
        <v>0.17999999999999994</v>
      </c>
      <c r="P514" s="181">
        <f>IF(E514="Hardox 450",INDEX('Sac Parametreleri'!$G$11:$G$24,MATCH(F514,'Sac Parametreleri'!$A$11:$A$24,0)),INDEX('Sac Parametreleri'!$E$11:$E$24,MATCH(F514,'Sac Parametreleri'!$A$11:$A$24,0)))</f>
        <v>50.24</v>
      </c>
      <c r="Q514" s="181">
        <f>INDEX('Sac Parametreleri'!$F$11:$F$24,MATCH(F514,'Sac Parametreleri'!$A$11:$A$24,0))</f>
        <v>20.552727272727271</v>
      </c>
      <c r="R514" s="182">
        <f t="shared" ref="R514:R577" si="38">(K514+N514)*P514-N514*Q514</f>
        <v>0.28015116203991131</v>
      </c>
      <c r="S514" s="182">
        <f t="shared" ref="S514:S577" si="39">R514*G514</f>
        <v>0.28015116203991131</v>
      </c>
      <c r="T514" s="139">
        <f>K514*F514*'Sac Parametreleri'!$B$6*G514</f>
        <v>0.3099808</v>
      </c>
      <c r="U514" s="139">
        <f>N514*F514*'Sac Parametreleri'!$B$6*G514</f>
        <v>6.8044565853658506E-2</v>
      </c>
      <c r="V514" s="139">
        <f>M514*F514*'Sac Parametreleri'!$B$6*G514</f>
        <v>0.37802536585365848</v>
      </c>
      <c r="W514" s="135" t="s">
        <v>1520</v>
      </c>
    </row>
    <row r="515" spans="1:23" ht="15" customHeight="1" x14ac:dyDescent="0.25">
      <c r="A515" s="135" t="s">
        <v>472</v>
      </c>
      <c r="B515" s="135">
        <v>2</v>
      </c>
      <c r="C515" s="135" t="s">
        <v>1989</v>
      </c>
      <c r="D515" s="135" t="s">
        <v>1990</v>
      </c>
      <c r="E515" s="135" t="s">
        <v>1552</v>
      </c>
      <c r="F515" s="135">
        <v>6</v>
      </c>
      <c r="G515" s="135">
        <v>2</v>
      </c>
      <c r="H515" s="135" t="s">
        <v>1742</v>
      </c>
      <c r="I515" s="178"/>
      <c r="J515" s="178"/>
      <c r="K515" s="179">
        <v>1.083E-3</v>
      </c>
      <c r="L515" s="179">
        <v>0</v>
      </c>
      <c r="M515" s="180">
        <f>K515/(1-'Sac Parametreleri'!$B$27)</f>
        <v>1.3207317073170731E-3</v>
      </c>
      <c r="N515" s="180">
        <f t="shared" si="36"/>
        <v>2.3773170731707311E-4</v>
      </c>
      <c r="O515" s="138">
        <f t="shared" si="37"/>
        <v>0.17999999999999997</v>
      </c>
      <c r="P515" s="181">
        <f>IF(E515="Hardox 450",INDEX('Sac Parametreleri'!$G$11:$G$24,MATCH(F515,'Sac Parametreleri'!$A$11:$A$24,0)),INDEX('Sac Parametreleri'!$E$11:$E$24,MATCH(F515,'Sac Parametreleri'!$A$11:$A$24,0)))</f>
        <v>37.68</v>
      </c>
      <c r="Q515" s="181">
        <f>INDEX('Sac Parametreleri'!$F$11:$F$24,MATCH(F515,'Sac Parametreleri'!$A$11:$A$24,0))</f>
        <v>15.414545454545452</v>
      </c>
      <c r="R515" s="182">
        <f t="shared" si="38"/>
        <v>4.6100644523281595E-2</v>
      </c>
      <c r="S515" s="182">
        <f t="shared" si="39"/>
        <v>9.220128904656319E-2</v>
      </c>
      <c r="T515" s="139">
        <f>K515*F515*'Sac Parametreleri'!$B$6*G515</f>
        <v>0.1020186</v>
      </c>
      <c r="U515" s="139">
        <f>N515*F515*'Sac Parametreleri'!$B$6*G515</f>
        <v>2.2394326829268285E-2</v>
      </c>
      <c r="V515" s="139">
        <f>M515*F515*'Sac Parametreleri'!$B$6*G515</f>
        <v>0.12441292682926827</v>
      </c>
      <c r="W515" s="135" t="s">
        <v>1520</v>
      </c>
    </row>
    <row r="516" spans="1:23" ht="15" customHeight="1" x14ac:dyDescent="0.25">
      <c r="A516" s="135" t="s">
        <v>472</v>
      </c>
      <c r="B516" s="135">
        <v>3</v>
      </c>
      <c r="C516" s="135" t="s">
        <v>1991</v>
      </c>
      <c r="D516" s="135" t="s">
        <v>1992</v>
      </c>
      <c r="E516" s="135" t="s">
        <v>1552</v>
      </c>
      <c r="F516" s="135">
        <v>8</v>
      </c>
      <c r="G516" s="135">
        <v>1</v>
      </c>
      <c r="H516" s="135" t="s">
        <v>1742</v>
      </c>
      <c r="I516" s="178"/>
      <c r="J516" s="178"/>
      <c r="K516" s="179">
        <v>4.9199999999999999E-3</v>
      </c>
      <c r="L516" s="179">
        <v>0</v>
      </c>
      <c r="M516" s="180">
        <f>K516/(1-'Sac Parametreleri'!$B$27)</f>
        <v>5.9999999999999993E-3</v>
      </c>
      <c r="N516" s="180">
        <f t="shared" si="36"/>
        <v>1.0799999999999994E-3</v>
      </c>
      <c r="O516" s="138">
        <f t="shared" si="37"/>
        <v>0.17999999999999991</v>
      </c>
      <c r="P516" s="181">
        <f>IF(E516="Hardox 450",INDEX('Sac Parametreleri'!$G$11:$G$24,MATCH(F516,'Sac Parametreleri'!$A$11:$A$24,0)),INDEX('Sac Parametreleri'!$E$11:$E$24,MATCH(F516,'Sac Parametreleri'!$A$11:$A$24,0)))</f>
        <v>50.24</v>
      </c>
      <c r="Q516" s="181">
        <f>INDEX('Sac Parametreleri'!$F$11:$F$24,MATCH(F516,'Sac Parametreleri'!$A$11:$A$24,0))</f>
        <v>20.552727272727271</v>
      </c>
      <c r="R516" s="182">
        <f t="shared" si="38"/>
        <v>0.27924305454545456</v>
      </c>
      <c r="S516" s="182">
        <f t="shared" si="39"/>
        <v>0.27924305454545456</v>
      </c>
      <c r="T516" s="139">
        <f>K516*F516*'Sac Parametreleri'!$B$6*G516</f>
        <v>0.30897599999999997</v>
      </c>
      <c r="U516" s="139">
        <f>N516*F516*'Sac Parametreleri'!$B$6*G516</f>
        <v>6.7823999999999954E-2</v>
      </c>
      <c r="V516" s="139">
        <f>M516*F516*'Sac Parametreleri'!$B$6*G516</f>
        <v>0.37679999999999991</v>
      </c>
      <c r="W516" s="135" t="s">
        <v>1520</v>
      </c>
    </row>
    <row r="517" spans="1:23" ht="15" customHeight="1" x14ac:dyDescent="0.25">
      <c r="A517" s="135" t="s">
        <v>473</v>
      </c>
      <c r="B517" s="135">
        <v>1</v>
      </c>
      <c r="C517" s="135" t="s">
        <v>1987</v>
      </c>
      <c r="D517" s="135" t="s">
        <v>1988</v>
      </c>
      <c r="E517" s="135" t="s">
        <v>1552</v>
      </c>
      <c r="F517" s="135">
        <v>8</v>
      </c>
      <c r="G517" s="135">
        <v>1</v>
      </c>
      <c r="H517" s="135" t="s">
        <v>1742</v>
      </c>
      <c r="I517" s="178"/>
      <c r="J517" s="178"/>
      <c r="K517" s="179">
        <v>4.9360000000000003E-3</v>
      </c>
      <c r="L517" s="179">
        <v>0</v>
      </c>
      <c r="M517" s="180">
        <f>K517/(1-'Sac Parametreleri'!$B$27)</f>
        <v>6.019512195121951E-3</v>
      </c>
      <c r="N517" s="180">
        <f t="shared" si="36"/>
        <v>1.0835121951219507E-3</v>
      </c>
      <c r="O517" s="138">
        <f t="shared" si="37"/>
        <v>0.17999999999999994</v>
      </c>
      <c r="P517" s="181">
        <f>IF(E517="Hardox 450",INDEX('Sac Parametreleri'!$G$11:$G$24,MATCH(F517,'Sac Parametreleri'!$A$11:$A$24,0)),INDEX('Sac Parametreleri'!$E$11:$E$24,MATCH(F517,'Sac Parametreleri'!$A$11:$A$24,0)))</f>
        <v>50.24</v>
      </c>
      <c r="Q517" s="181">
        <f>INDEX('Sac Parametreleri'!$F$11:$F$24,MATCH(F517,'Sac Parametreleri'!$A$11:$A$24,0))</f>
        <v>20.552727272727271</v>
      </c>
      <c r="R517" s="182">
        <f t="shared" si="38"/>
        <v>0.28015116203991131</v>
      </c>
      <c r="S517" s="182">
        <f t="shared" si="39"/>
        <v>0.28015116203991131</v>
      </c>
      <c r="T517" s="139">
        <f>K517*F517*'Sac Parametreleri'!$B$6*G517</f>
        <v>0.3099808</v>
      </c>
      <c r="U517" s="139">
        <f>N517*F517*'Sac Parametreleri'!$B$6*G517</f>
        <v>6.8044565853658506E-2</v>
      </c>
      <c r="V517" s="139">
        <f>M517*F517*'Sac Parametreleri'!$B$6*G517</f>
        <v>0.37802536585365848</v>
      </c>
      <c r="W517" s="135" t="s">
        <v>1520</v>
      </c>
    </row>
    <row r="518" spans="1:23" ht="15" customHeight="1" x14ac:dyDescent="0.25">
      <c r="A518" s="135" t="s">
        <v>473</v>
      </c>
      <c r="B518" s="135">
        <v>2</v>
      </c>
      <c r="C518" s="135" t="s">
        <v>1989</v>
      </c>
      <c r="D518" s="135" t="s">
        <v>1990</v>
      </c>
      <c r="E518" s="135" t="s">
        <v>1552</v>
      </c>
      <c r="F518" s="135">
        <v>6</v>
      </c>
      <c r="G518" s="135">
        <v>2</v>
      </c>
      <c r="H518" s="135" t="s">
        <v>1742</v>
      </c>
      <c r="I518" s="178"/>
      <c r="J518" s="178"/>
      <c r="K518" s="179">
        <v>1.083E-3</v>
      </c>
      <c r="L518" s="179">
        <v>0</v>
      </c>
      <c r="M518" s="180">
        <f>K518/(1-'Sac Parametreleri'!$B$27)</f>
        <v>1.3207317073170731E-3</v>
      </c>
      <c r="N518" s="180">
        <f t="shared" si="36"/>
        <v>2.3773170731707311E-4</v>
      </c>
      <c r="O518" s="138">
        <f t="shared" si="37"/>
        <v>0.17999999999999997</v>
      </c>
      <c r="P518" s="181">
        <f>IF(E518="Hardox 450",INDEX('Sac Parametreleri'!$G$11:$G$24,MATCH(F518,'Sac Parametreleri'!$A$11:$A$24,0)),INDEX('Sac Parametreleri'!$E$11:$E$24,MATCH(F518,'Sac Parametreleri'!$A$11:$A$24,0)))</f>
        <v>37.68</v>
      </c>
      <c r="Q518" s="181">
        <f>INDEX('Sac Parametreleri'!$F$11:$F$24,MATCH(F518,'Sac Parametreleri'!$A$11:$A$24,0))</f>
        <v>15.414545454545452</v>
      </c>
      <c r="R518" s="182">
        <f t="shared" si="38"/>
        <v>4.6100644523281595E-2</v>
      </c>
      <c r="S518" s="182">
        <f t="shared" si="39"/>
        <v>9.220128904656319E-2</v>
      </c>
      <c r="T518" s="139">
        <f>K518*F518*'Sac Parametreleri'!$B$6*G518</f>
        <v>0.1020186</v>
      </c>
      <c r="U518" s="139">
        <f>N518*F518*'Sac Parametreleri'!$B$6*G518</f>
        <v>2.2394326829268285E-2</v>
      </c>
      <c r="V518" s="139">
        <f>M518*F518*'Sac Parametreleri'!$B$6*G518</f>
        <v>0.12441292682926827</v>
      </c>
      <c r="W518" s="135" t="s">
        <v>1520</v>
      </c>
    </row>
    <row r="519" spans="1:23" ht="15" customHeight="1" x14ac:dyDescent="0.25">
      <c r="A519" s="135" t="s">
        <v>473</v>
      </c>
      <c r="B519" s="135">
        <v>3</v>
      </c>
      <c r="C519" s="135" t="s">
        <v>1991</v>
      </c>
      <c r="D519" s="135" t="s">
        <v>1992</v>
      </c>
      <c r="E519" s="135" t="s">
        <v>1552</v>
      </c>
      <c r="F519" s="135">
        <v>8</v>
      </c>
      <c r="G519" s="135">
        <v>1</v>
      </c>
      <c r="H519" s="135" t="s">
        <v>1742</v>
      </c>
      <c r="I519" s="178"/>
      <c r="J519" s="178"/>
      <c r="K519" s="179">
        <v>4.9199999999999999E-3</v>
      </c>
      <c r="L519" s="179">
        <v>0</v>
      </c>
      <c r="M519" s="180">
        <f>K519/(1-'Sac Parametreleri'!$B$27)</f>
        <v>5.9999999999999993E-3</v>
      </c>
      <c r="N519" s="180">
        <f t="shared" si="36"/>
        <v>1.0799999999999994E-3</v>
      </c>
      <c r="O519" s="138">
        <f t="shared" si="37"/>
        <v>0.17999999999999991</v>
      </c>
      <c r="P519" s="181">
        <f>IF(E519="Hardox 450",INDEX('Sac Parametreleri'!$G$11:$G$24,MATCH(F519,'Sac Parametreleri'!$A$11:$A$24,0)),INDEX('Sac Parametreleri'!$E$11:$E$24,MATCH(F519,'Sac Parametreleri'!$A$11:$A$24,0)))</f>
        <v>50.24</v>
      </c>
      <c r="Q519" s="181">
        <f>INDEX('Sac Parametreleri'!$F$11:$F$24,MATCH(F519,'Sac Parametreleri'!$A$11:$A$24,0))</f>
        <v>20.552727272727271</v>
      </c>
      <c r="R519" s="182">
        <f t="shared" si="38"/>
        <v>0.27924305454545456</v>
      </c>
      <c r="S519" s="182">
        <f t="shared" si="39"/>
        <v>0.27924305454545456</v>
      </c>
      <c r="T519" s="139">
        <f>K519*F519*'Sac Parametreleri'!$B$6*G519</f>
        <v>0.30897599999999997</v>
      </c>
      <c r="U519" s="139">
        <f>N519*F519*'Sac Parametreleri'!$B$6*G519</f>
        <v>6.7823999999999954E-2</v>
      </c>
      <c r="V519" s="139">
        <f>M519*F519*'Sac Parametreleri'!$B$6*G519</f>
        <v>0.37679999999999991</v>
      </c>
      <c r="W519" s="135" t="s">
        <v>1520</v>
      </c>
    </row>
    <row r="520" spans="1:23" ht="15" customHeight="1" x14ac:dyDescent="0.25">
      <c r="A520" s="135" t="s">
        <v>540</v>
      </c>
      <c r="B520" s="135">
        <v>1</v>
      </c>
      <c r="C520" s="135" t="s">
        <v>813</v>
      </c>
      <c r="D520" s="135" t="s">
        <v>774</v>
      </c>
      <c r="E520" s="135" t="s">
        <v>1552</v>
      </c>
      <c r="F520" s="135">
        <v>3</v>
      </c>
      <c r="G520" s="135">
        <v>1</v>
      </c>
      <c r="H520" s="135" t="s">
        <v>1765</v>
      </c>
      <c r="I520" s="178"/>
      <c r="J520" s="178"/>
      <c r="K520" s="179">
        <v>7.0489999999999997E-3</v>
      </c>
      <c r="L520" s="179">
        <v>0</v>
      </c>
      <c r="M520" s="180">
        <f>K520/(1-'Sac Parametreleri'!$B$29)</f>
        <v>8.9340937896070973E-3</v>
      </c>
      <c r="N520" s="180">
        <f t="shared" si="36"/>
        <v>1.8850937896070976E-3</v>
      </c>
      <c r="O520" s="138">
        <f t="shared" si="37"/>
        <v>0.21100000000000002</v>
      </c>
      <c r="P520" s="181">
        <f>IF(E520="Hardox 450",INDEX('Sac Parametreleri'!$G$11:$G$24,MATCH(F520,'Sac Parametreleri'!$A$11:$A$24,0)),INDEX('Sac Parametreleri'!$E$11:$E$24,MATCH(F520,'Sac Parametreleri'!$A$11:$A$24,0)))</f>
        <v>18.84</v>
      </c>
      <c r="Q520" s="181">
        <f>INDEX('Sac Parametreleri'!$F$11:$F$24,MATCH(F520,'Sac Parametreleri'!$A$11:$A$24,0))</f>
        <v>7.7072727272727262</v>
      </c>
      <c r="R520" s="182">
        <f t="shared" si="38"/>
        <v>0.15378939504320777</v>
      </c>
      <c r="S520" s="182">
        <f t="shared" si="39"/>
        <v>0.15378939504320777</v>
      </c>
      <c r="T520" s="139">
        <f>K520*F520*'Sac Parametreleri'!$B$6*G520</f>
        <v>0.16600394999999998</v>
      </c>
      <c r="U520" s="139">
        <f>N520*F520*'Sac Parametreleri'!$B$6*G520</f>
        <v>4.4393958745247146E-2</v>
      </c>
      <c r="V520" s="139">
        <f>M520*F520*'Sac Parametreleri'!$B$6*G520</f>
        <v>0.21039790874524711</v>
      </c>
      <c r="W520" s="135" t="s">
        <v>1520</v>
      </c>
    </row>
    <row r="521" spans="1:23" ht="15" customHeight="1" x14ac:dyDescent="0.25">
      <c r="A521" s="135" t="s">
        <v>506</v>
      </c>
      <c r="B521" s="135">
        <v>1</v>
      </c>
      <c r="C521" s="135" t="s">
        <v>1993</v>
      </c>
      <c r="D521" s="135" t="s">
        <v>749</v>
      </c>
      <c r="E521" s="135" t="s">
        <v>1552</v>
      </c>
      <c r="F521" s="135">
        <v>6</v>
      </c>
      <c r="G521" s="135">
        <v>1</v>
      </c>
      <c r="H521" s="135" t="s">
        <v>1742</v>
      </c>
      <c r="I521" s="178"/>
      <c r="J521" s="178"/>
      <c r="K521" s="179">
        <v>9.0869999999999996E-3</v>
      </c>
      <c r="L521" s="179">
        <v>0</v>
      </c>
      <c r="M521" s="180">
        <f>K521/(1-'Sac Parametreleri'!$B$27)</f>
        <v>1.1081707317073169E-2</v>
      </c>
      <c r="N521" s="180">
        <f t="shared" si="36"/>
        <v>1.9947073170731699E-3</v>
      </c>
      <c r="O521" s="138">
        <f t="shared" si="37"/>
        <v>0.17999999999999994</v>
      </c>
      <c r="P521" s="181">
        <f>IF(E521="Hardox 450",INDEX('Sac Parametreleri'!$G$11:$G$24,MATCH(F521,'Sac Parametreleri'!$A$11:$A$24,0)),INDEX('Sac Parametreleri'!$E$11:$E$24,MATCH(F521,'Sac Parametreleri'!$A$11:$A$24,0)))</f>
        <v>37.68</v>
      </c>
      <c r="Q521" s="181">
        <f>INDEX('Sac Parametreleri'!$F$11:$F$24,MATCH(F521,'Sac Parametreleri'!$A$11:$A$24,0))</f>
        <v>15.414545454545452</v>
      </c>
      <c r="R521" s="182">
        <f t="shared" si="38"/>
        <v>0.38681122509977822</v>
      </c>
      <c r="S521" s="182">
        <f t="shared" si="39"/>
        <v>0.38681122509977822</v>
      </c>
      <c r="T521" s="139">
        <f>K521*F521*'Sac Parametreleri'!$B$6*G521</f>
        <v>0.42799769999999998</v>
      </c>
      <c r="U521" s="139">
        <f>N521*F521*'Sac Parametreleri'!$B$6*G521</f>
        <v>9.3950714634146296E-2</v>
      </c>
      <c r="V521" s="139">
        <f>M521*F521*'Sac Parametreleri'!$B$6*G521</f>
        <v>0.52194841463414621</v>
      </c>
      <c r="W521" s="135" t="s">
        <v>1520</v>
      </c>
    </row>
    <row r="522" spans="1:23" ht="15" customHeight="1" x14ac:dyDescent="0.25">
      <c r="A522" s="135" t="s">
        <v>506</v>
      </c>
      <c r="B522" s="135">
        <v>2</v>
      </c>
      <c r="C522" s="135" t="s">
        <v>1986</v>
      </c>
      <c r="D522" s="135" t="s">
        <v>749</v>
      </c>
      <c r="E522" s="135" t="s">
        <v>1552</v>
      </c>
      <c r="F522" s="135">
        <v>6</v>
      </c>
      <c r="G522" s="135">
        <v>2</v>
      </c>
      <c r="H522" s="135" t="s">
        <v>1742</v>
      </c>
      <c r="I522" s="178"/>
      <c r="J522" s="178"/>
      <c r="K522" s="179">
        <v>2.7390000000000001E-3</v>
      </c>
      <c r="L522" s="179">
        <v>0</v>
      </c>
      <c r="M522" s="180">
        <f>K522/(1-'Sac Parametreleri'!$B$27)</f>
        <v>3.3402439024390242E-3</v>
      </c>
      <c r="N522" s="180">
        <f t="shared" si="36"/>
        <v>6.0124390243902412E-4</v>
      </c>
      <c r="O522" s="138">
        <f t="shared" si="37"/>
        <v>0.17999999999999994</v>
      </c>
      <c r="P522" s="181">
        <f>IF(E522="Hardox 450",INDEX('Sac Parametreleri'!$G$11:$G$24,MATCH(F522,'Sac Parametreleri'!$A$11:$A$24,0)),INDEX('Sac Parametreleri'!$E$11:$E$24,MATCH(F522,'Sac Parametreleri'!$A$11:$A$24,0)))</f>
        <v>37.68</v>
      </c>
      <c r="Q522" s="181">
        <f>INDEX('Sac Parametreleri'!$F$11:$F$24,MATCH(F522,'Sac Parametreleri'!$A$11:$A$24,0))</f>
        <v>15.414545454545452</v>
      </c>
      <c r="R522" s="182">
        <f t="shared" si="38"/>
        <v>0.11659248878048781</v>
      </c>
      <c r="S522" s="182">
        <f t="shared" si="39"/>
        <v>0.23318497756097561</v>
      </c>
      <c r="T522" s="139">
        <f>K522*F522*'Sac Parametreleri'!$B$6*G522</f>
        <v>0.25801380000000002</v>
      </c>
      <c r="U522" s="139">
        <f>N522*F522*'Sac Parametreleri'!$B$6*G522</f>
        <v>5.663717560975607E-2</v>
      </c>
      <c r="V522" s="139">
        <f>M522*F522*'Sac Parametreleri'!$B$6*G522</f>
        <v>0.31465097560975608</v>
      </c>
      <c r="W522" s="135" t="s">
        <v>1520</v>
      </c>
    </row>
    <row r="523" spans="1:23" ht="15" customHeight="1" x14ac:dyDescent="0.25">
      <c r="A523" s="135" t="s">
        <v>600</v>
      </c>
      <c r="B523" s="135">
        <v>1</v>
      </c>
      <c r="C523" s="135" t="s">
        <v>1994</v>
      </c>
      <c r="D523" s="135" t="s">
        <v>749</v>
      </c>
      <c r="E523" s="135" t="s">
        <v>1552</v>
      </c>
      <c r="F523" s="135">
        <v>8</v>
      </c>
      <c r="G523" s="135">
        <v>1</v>
      </c>
      <c r="H523" s="135" t="s">
        <v>1742</v>
      </c>
      <c r="I523" s="178"/>
      <c r="J523" s="178"/>
      <c r="K523" s="179">
        <v>7.0699999999999999E-3</v>
      </c>
      <c r="L523" s="179">
        <v>0</v>
      </c>
      <c r="M523" s="180">
        <f>K523/(1-'Sac Parametreleri'!$B$27)</f>
        <v>8.6219512195121941E-3</v>
      </c>
      <c r="N523" s="180">
        <f t="shared" si="36"/>
        <v>1.5519512195121942E-3</v>
      </c>
      <c r="O523" s="138">
        <f t="shared" si="37"/>
        <v>0.17999999999999991</v>
      </c>
      <c r="P523" s="181">
        <f>IF(E523="Hardox 450",INDEX('Sac Parametreleri'!$G$11:$G$24,MATCH(F523,'Sac Parametreleri'!$A$11:$A$24,0)),INDEX('Sac Parametreleri'!$E$11:$E$24,MATCH(F523,'Sac Parametreleri'!$A$11:$A$24,0)))</f>
        <v>50.24</v>
      </c>
      <c r="Q523" s="181">
        <f>INDEX('Sac Parametreleri'!$F$11:$F$24,MATCH(F523,'Sac Parametreleri'!$A$11:$A$24,0))</f>
        <v>20.552727272727271</v>
      </c>
      <c r="R523" s="182">
        <f t="shared" si="38"/>
        <v>0.40126999911308203</v>
      </c>
      <c r="S523" s="182">
        <f t="shared" si="39"/>
        <v>0.40126999911308203</v>
      </c>
      <c r="T523" s="139">
        <f>K523*F523*'Sac Parametreleri'!$B$6*G523</f>
        <v>0.44399599999999995</v>
      </c>
      <c r="U523" s="139">
        <f>N523*F523*'Sac Parametreleri'!$B$6*G523</f>
        <v>9.7462536585365786E-2</v>
      </c>
      <c r="V523" s="139">
        <f>M523*F523*'Sac Parametreleri'!$B$6*G523</f>
        <v>0.5414585365853658</v>
      </c>
      <c r="W523" s="135" t="s">
        <v>1520</v>
      </c>
    </row>
    <row r="524" spans="1:23" ht="15" customHeight="1" x14ac:dyDescent="0.25">
      <c r="A524" s="135" t="s">
        <v>600</v>
      </c>
      <c r="B524" s="135">
        <v>2</v>
      </c>
      <c r="C524" s="135" t="s">
        <v>960</v>
      </c>
      <c r="D524" s="135" t="s">
        <v>749</v>
      </c>
      <c r="E524" s="135" t="s">
        <v>1552</v>
      </c>
      <c r="F524" s="135">
        <v>4</v>
      </c>
      <c r="G524" s="135">
        <v>1</v>
      </c>
      <c r="H524" s="135" t="s">
        <v>1746</v>
      </c>
      <c r="I524" s="178"/>
      <c r="J524" s="178"/>
      <c r="K524" s="179">
        <v>4.3309999999999998E-3</v>
      </c>
      <c r="L524" s="179">
        <v>0</v>
      </c>
      <c r="M524" s="180">
        <f>K524/(1-'Sac Parametreleri'!$B$29)</f>
        <v>5.4892268694550061E-3</v>
      </c>
      <c r="N524" s="180">
        <f t="shared" si="36"/>
        <v>1.1582268694550063E-3</v>
      </c>
      <c r="O524" s="138">
        <f t="shared" si="37"/>
        <v>0.21099999999999999</v>
      </c>
      <c r="P524" s="181">
        <f>IF(E524="Hardox 450",INDEX('Sac Parametreleri'!$G$11:$G$24,MATCH(F524,'Sac Parametreleri'!$A$11:$A$24,0)),INDEX('Sac Parametreleri'!$E$11:$E$24,MATCH(F524,'Sac Parametreleri'!$A$11:$A$24,0)))</f>
        <v>25.12</v>
      </c>
      <c r="Q524" s="181">
        <f>INDEX('Sac Parametreleri'!$F$11:$F$24,MATCH(F524,'Sac Parametreleri'!$A$11:$A$24,0))</f>
        <v>10.276363636363635</v>
      </c>
      <c r="R524" s="182">
        <f t="shared" si="38"/>
        <v>0.12598701847678306</v>
      </c>
      <c r="S524" s="182">
        <f t="shared" si="39"/>
        <v>0.12598701847678306</v>
      </c>
      <c r="T524" s="139">
        <f>K524*F524*'Sac Parametreleri'!$B$6*G524</f>
        <v>0.13599339999999999</v>
      </c>
      <c r="U524" s="139">
        <f>N524*F524*'Sac Parametreleri'!$B$6*G524</f>
        <v>3.6368323700887197E-2</v>
      </c>
      <c r="V524" s="139">
        <f>M524*F524*'Sac Parametreleri'!$B$6*G524</f>
        <v>0.17236172370088718</v>
      </c>
      <c r="W524" s="135" t="s">
        <v>1520</v>
      </c>
    </row>
    <row r="525" spans="1:23" ht="15" customHeight="1" x14ac:dyDescent="0.25">
      <c r="A525" s="135" t="s">
        <v>632</v>
      </c>
      <c r="B525" s="135">
        <v>1</v>
      </c>
      <c r="C525" s="135" t="s">
        <v>871</v>
      </c>
      <c r="D525" s="135" t="s">
        <v>872</v>
      </c>
      <c r="E525" s="135" t="s">
        <v>1552</v>
      </c>
      <c r="F525" s="135">
        <v>4</v>
      </c>
      <c r="G525" s="135">
        <v>1</v>
      </c>
      <c r="H525" s="135" t="s">
        <v>1746</v>
      </c>
      <c r="I525" s="178"/>
      <c r="J525" s="178"/>
      <c r="K525" s="179">
        <v>9.8410000000000008E-3</v>
      </c>
      <c r="L525" s="179">
        <v>0</v>
      </c>
      <c r="M525" s="180">
        <f>K525/(1-'Sac Parametreleri'!$B$29)</f>
        <v>1.2472750316856782E-2</v>
      </c>
      <c r="N525" s="180">
        <f t="shared" si="36"/>
        <v>2.6317503168567808E-3</v>
      </c>
      <c r="O525" s="138">
        <f t="shared" si="37"/>
        <v>0.21099999999999999</v>
      </c>
      <c r="P525" s="181">
        <f>IF(E525="Hardox 450",INDEX('Sac Parametreleri'!$G$11:$G$24,MATCH(F525,'Sac Parametreleri'!$A$11:$A$24,0)),INDEX('Sac Parametreleri'!$E$11:$E$24,MATCH(F525,'Sac Parametreleri'!$A$11:$A$24,0)))</f>
        <v>25.12</v>
      </c>
      <c r="Q525" s="181">
        <f>INDEX('Sac Parametreleri'!$F$11:$F$24,MATCH(F525,'Sac Parametreleri'!$A$11:$A$24,0))</f>
        <v>10.276363636363635</v>
      </c>
      <c r="R525" s="182">
        <f t="shared" si="38"/>
        <v>0.28627066470330687</v>
      </c>
      <c r="S525" s="182">
        <f t="shared" si="39"/>
        <v>0.28627066470330687</v>
      </c>
      <c r="T525" s="139">
        <f>K525*F525*'Sac Parametreleri'!$B$6*G525</f>
        <v>0.30900739999999999</v>
      </c>
      <c r="U525" s="139">
        <f>N525*F525*'Sac Parametreleri'!$B$6*G525</f>
        <v>8.263695994930291E-2</v>
      </c>
      <c r="V525" s="139">
        <f>M525*F525*'Sac Parametreleri'!$B$6*G525</f>
        <v>0.39164435994930291</v>
      </c>
      <c r="W525" s="135" t="s">
        <v>1520</v>
      </c>
    </row>
    <row r="526" spans="1:23" ht="15" customHeight="1" x14ac:dyDescent="0.25">
      <c r="A526" s="135" t="s">
        <v>632</v>
      </c>
      <c r="B526" s="135">
        <v>2</v>
      </c>
      <c r="C526" s="135" t="s">
        <v>1995</v>
      </c>
      <c r="D526" s="135" t="s">
        <v>1996</v>
      </c>
      <c r="E526" s="135" t="s">
        <v>1552</v>
      </c>
      <c r="F526" s="135">
        <v>4</v>
      </c>
      <c r="G526" s="135">
        <v>1</v>
      </c>
      <c r="H526" s="135" t="s">
        <v>1742</v>
      </c>
      <c r="I526" s="178"/>
      <c r="J526" s="178"/>
      <c r="K526" s="179">
        <v>1.5920000000000001E-3</v>
      </c>
      <c r="L526" s="179">
        <v>0</v>
      </c>
      <c r="M526" s="180">
        <f>K526/(1-'Sac Parametreleri'!$B$27)</f>
        <v>1.9414634146341463E-3</v>
      </c>
      <c r="N526" s="180">
        <f t="shared" si="36"/>
        <v>3.4946341463414619E-4</v>
      </c>
      <c r="O526" s="138">
        <f t="shared" si="37"/>
        <v>0.17999999999999994</v>
      </c>
      <c r="P526" s="181">
        <f>IF(E526="Hardox 450",INDEX('Sac Parametreleri'!$G$11:$G$24,MATCH(F526,'Sac Parametreleri'!$A$11:$A$24,0)),INDEX('Sac Parametreleri'!$E$11:$E$24,MATCH(F526,'Sac Parametreleri'!$A$11:$A$24,0)))</f>
        <v>25.12</v>
      </c>
      <c r="Q526" s="181">
        <f>INDEX('Sac Parametreleri'!$F$11:$F$24,MATCH(F526,'Sac Parametreleri'!$A$11:$A$24,0))</f>
        <v>10.276363636363635</v>
      </c>
      <c r="R526" s="182">
        <f t="shared" si="38"/>
        <v>4.5178347849223949E-2</v>
      </c>
      <c r="S526" s="182">
        <f t="shared" si="39"/>
        <v>4.5178347849223949E-2</v>
      </c>
      <c r="T526" s="139">
        <f>K526*F526*'Sac Parametreleri'!$B$6*G526</f>
        <v>4.99888E-2</v>
      </c>
      <c r="U526" s="139">
        <f>N526*F526*'Sac Parametreleri'!$B$6*G526</f>
        <v>1.097315121951219E-2</v>
      </c>
      <c r="V526" s="139">
        <f>M526*F526*'Sac Parametreleri'!$B$6*G526</f>
        <v>6.0961951219512193E-2</v>
      </c>
      <c r="W526" s="135" t="s">
        <v>1520</v>
      </c>
    </row>
    <row r="527" spans="1:23" ht="15" customHeight="1" x14ac:dyDescent="0.25">
      <c r="A527" s="135" t="s">
        <v>632</v>
      </c>
      <c r="B527" s="135">
        <v>3</v>
      </c>
      <c r="C527" s="135" t="s">
        <v>1997</v>
      </c>
      <c r="D527" s="135" t="s">
        <v>1998</v>
      </c>
      <c r="E527" s="135" t="s">
        <v>1552</v>
      </c>
      <c r="F527" s="135">
        <v>4</v>
      </c>
      <c r="G527" s="135">
        <v>1</v>
      </c>
      <c r="H527" s="135" t="s">
        <v>1742</v>
      </c>
      <c r="I527" s="178"/>
      <c r="J527" s="178"/>
      <c r="K527" s="179">
        <v>7.9600000000000005E-4</v>
      </c>
      <c r="L527" s="179">
        <v>0</v>
      </c>
      <c r="M527" s="180">
        <f>K527/(1-'Sac Parametreleri'!$B$27)</f>
        <v>9.7073170731707314E-4</v>
      </c>
      <c r="N527" s="180">
        <f t="shared" si="36"/>
        <v>1.7473170731707309E-4</v>
      </c>
      <c r="O527" s="138">
        <f t="shared" si="37"/>
        <v>0.17999999999999994</v>
      </c>
      <c r="P527" s="181">
        <f>IF(E527="Hardox 450",INDEX('Sac Parametreleri'!$G$11:$G$24,MATCH(F527,'Sac Parametreleri'!$A$11:$A$24,0)),INDEX('Sac Parametreleri'!$E$11:$E$24,MATCH(F527,'Sac Parametreleri'!$A$11:$A$24,0)))</f>
        <v>25.12</v>
      </c>
      <c r="Q527" s="181">
        <f>INDEX('Sac Parametreleri'!$F$11:$F$24,MATCH(F527,'Sac Parametreleri'!$A$11:$A$24,0))</f>
        <v>10.276363636363635</v>
      </c>
      <c r="R527" s="182">
        <f t="shared" si="38"/>
        <v>2.2589173924611974E-2</v>
      </c>
      <c r="S527" s="182">
        <f t="shared" si="39"/>
        <v>2.2589173924611974E-2</v>
      </c>
      <c r="T527" s="139">
        <f>K527*F527*'Sac Parametreleri'!$B$6*G527</f>
        <v>2.49944E-2</v>
      </c>
      <c r="U527" s="139">
        <f>N527*F527*'Sac Parametreleri'!$B$6*G527</f>
        <v>5.4865756097560951E-3</v>
      </c>
      <c r="V527" s="139">
        <f>M527*F527*'Sac Parametreleri'!$B$6*G527</f>
        <v>3.0480975609756097E-2</v>
      </c>
      <c r="W527" s="135" t="s">
        <v>1520</v>
      </c>
    </row>
    <row r="528" spans="1:23" ht="15" customHeight="1" x14ac:dyDescent="0.25">
      <c r="A528" s="135" t="s">
        <v>455</v>
      </c>
      <c r="B528" s="135">
        <v>1</v>
      </c>
      <c r="C528" s="135" t="s">
        <v>1999</v>
      </c>
      <c r="D528" s="135" t="s">
        <v>2000</v>
      </c>
      <c r="E528" s="135" t="s">
        <v>1552</v>
      </c>
      <c r="F528" s="135">
        <v>15</v>
      </c>
      <c r="G528" s="135">
        <v>1</v>
      </c>
      <c r="H528" s="135" t="s">
        <v>1742</v>
      </c>
      <c r="I528" s="178"/>
      <c r="J528" s="178"/>
      <c r="K528" s="179">
        <v>1.155E-3</v>
      </c>
      <c r="L528" s="179">
        <v>0</v>
      </c>
      <c r="M528" s="180">
        <f>K528/(1-'Sac Parametreleri'!$B$27)</f>
        <v>1.4085365853658536E-3</v>
      </c>
      <c r="N528" s="180">
        <f t="shared" si="36"/>
        <v>2.5353658536585361E-4</v>
      </c>
      <c r="O528" s="138">
        <f t="shared" si="37"/>
        <v>0.17999999999999997</v>
      </c>
      <c r="P528" s="181">
        <f>IF(E528="Hardox 450",INDEX('Sac Parametreleri'!$G$11:$G$24,MATCH(F528,'Sac Parametreleri'!$A$11:$A$24,0)),INDEX('Sac Parametreleri'!$E$11:$E$24,MATCH(F528,'Sac Parametreleri'!$A$11:$A$24,0)))</f>
        <v>94.2</v>
      </c>
      <c r="Q528" s="181">
        <f>INDEX('Sac Parametreleri'!$F$11:$F$24,MATCH(F528,'Sac Parametreleri'!$A$11:$A$24,0))</f>
        <v>38.536363636363639</v>
      </c>
      <c r="R528" s="182">
        <f t="shared" si="38"/>
        <v>0.12291376829268293</v>
      </c>
      <c r="S528" s="182">
        <f t="shared" si="39"/>
        <v>0.12291376829268293</v>
      </c>
      <c r="T528" s="139">
        <f>K528*F528*'Sac Parametreleri'!$B$6*G528</f>
        <v>0.13600124999999999</v>
      </c>
      <c r="U528" s="139">
        <f>N528*F528*'Sac Parametreleri'!$B$6*G528</f>
        <v>2.9853932926829262E-2</v>
      </c>
      <c r="V528" s="139">
        <f>M528*F528*'Sac Parametreleri'!$B$6*G528</f>
        <v>0.16585518292682924</v>
      </c>
      <c r="W528" s="135" t="s">
        <v>1520</v>
      </c>
    </row>
    <row r="529" spans="1:23" ht="15" customHeight="1" x14ac:dyDescent="0.25">
      <c r="A529" s="135" t="s">
        <v>455</v>
      </c>
      <c r="B529" s="135">
        <v>2</v>
      </c>
      <c r="C529" s="135" t="s">
        <v>955</v>
      </c>
      <c r="D529" s="135" t="s">
        <v>956</v>
      </c>
      <c r="E529" s="135" t="s">
        <v>1552</v>
      </c>
      <c r="F529" s="135">
        <v>4</v>
      </c>
      <c r="G529" s="135">
        <v>1</v>
      </c>
      <c r="H529" s="135" t="s">
        <v>1746</v>
      </c>
      <c r="I529" s="178"/>
      <c r="J529" s="178"/>
      <c r="K529" s="179">
        <v>7.9939999999999994E-3</v>
      </c>
      <c r="L529" s="179">
        <v>0</v>
      </c>
      <c r="M529" s="180">
        <f>K529/(1-'Sac Parametreleri'!$B$29)</f>
        <v>1.0131812420785804E-2</v>
      </c>
      <c r="N529" s="180">
        <f t="shared" si="36"/>
        <v>2.1378124207858049E-3</v>
      </c>
      <c r="O529" s="138">
        <f t="shared" si="37"/>
        <v>0.21100000000000002</v>
      </c>
      <c r="P529" s="181">
        <f>IF(E529="Hardox 450",INDEX('Sac Parametreleri'!$G$11:$G$24,MATCH(F529,'Sac Parametreleri'!$A$11:$A$24,0)),INDEX('Sac Parametreleri'!$E$11:$E$24,MATCH(F529,'Sac Parametreleri'!$A$11:$A$24,0)))</f>
        <v>25.12</v>
      </c>
      <c r="Q529" s="181">
        <f>INDEX('Sac Parametreleri'!$F$11:$F$24,MATCH(F529,'Sac Parametreleri'!$A$11:$A$24,0))</f>
        <v>10.276363636363635</v>
      </c>
      <c r="R529" s="182">
        <f t="shared" si="38"/>
        <v>0.23254219018780967</v>
      </c>
      <c r="S529" s="182">
        <f t="shared" si="39"/>
        <v>0.23254219018780967</v>
      </c>
      <c r="T529" s="139">
        <f>K529*F529*'Sac Parametreleri'!$B$6*G529</f>
        <v>0.25101159999999995</v>
      </c>
      <c r="U529" s="139">
        <f>N529*F529*'Sac Parametreleri'!$B$6*G529</f>
        <v>6.7127310012674274E-2</v>
      </c>
      <c r="V529" s="139">
        <f>M529*F529*'Sac Parametreleri'!$B$6*G529</f>
        <v>0.31813891001267425</v>
      </c>
      <c r="W529" s="135" t="s">
        <v>1520</v>
      </c>
    </row>
    <row r="530" spans="1:23" ht="15" customHeight="1" x14ac:dyDescent="0.25">
      <c r="A530" s="135" t="s">
        <v>491</v>
      </c>
      <c r="B530" s="135">
        <v>1</v>
      </c>
      <c r="C530" s="135" t="s">
        <v>957</v>
      </c>
      <c r="D530" s="135" t="s">
        <v>749</v>
      </c>
      <c r="E530" s="135" t="s">
        <v>1552</v>
      </c>
      <c r="F530" s="135">
        <v>4</v>
      </c>
      <c r="G530" s="135">
        <v>1</v>
      </c>
      <c r="H530" s="135" t="s">
        <v>1765</v>
      </c>
      <c r="I530" s="178"/>
      <c r="J530" s="178"/>
      <c r="K530" s="179">
        <v>9.6179999999999998E-3</v>
      </c>
      <c r="L530" s="179">
        <v>0</v>
      </c>
      <c r="M530" s="180">
        <f>K530/(1-'Sac Parametreleri'!$B$29)</f>
        <v>1.2190114068441064E-2</v>
      </c>
      <c r="N530" s="180">
        <f t="shared" si="36"/>
        <v>2.5721140684410639E-3</v>
      </c>
      <c r="O530" s="138">
        <f t="shared" si="37"/>
        <v>0.21099999999999997</v>
      </c>
      <c r="P530" s="181">
        <f>IF(E530="Hardox 450",INDEX('Sac Parametreleri'!$G$11:$G$24,MATCH(F530,'Sac Parametreleri'!$A$11:$A$24,0)),INDEX('Sac Parametreleri'!$E$11:$E$24,MATCH(F530,'Sac Parametreleri'!$A$11:$A$24,0)))</f>
        <v>25.12</v>
      </c>
      <c r="Q530" s="181">
        <f>INDEX('Sac Parametreleri'!$F$11:$F$24,MATCH(F530,'Sac Parametreleri'!$A$11:$A$24,0))</f>
        <v>10.276363636363635</v>
      </c>
      <c r="R530" s="182">
        <f t="shared" si="38"/>
        <v>0.27978368591773251</v>
      </c>
      <c r="S530" s="182">
        <f t="shared" si="39"/>
        <v>0.27978368591773251</v>
      </c>
      <c r="T530" s="139">
        <f>K530*F530*'Sac Parametreleri'!$B$6*G530</f>
        <v>0.30200519999999997</v>
      </c>
      <c r="U530" s="139">
        <f>N530*F530*'Sac Parametreleri'!$B$6*G530</f>
        <v>8.0764381749049402E-2</v>
      </c>
      <c r="V530" s="139">
        <f>M530*F530*'Sac Parametreleri'!$B$6*G530</f>
        <v>0.3827695817490494</v>
      </c>
      <c r="W530" s="135" t="s">
        <v>1520</v>
      </c>
    </row>
    <row r="531" spans="1:23" ht="15" customHeight="1" x14ac:dyDescent="0.25">
      <c r="A531" s="135" t="s">
        <v>491</v>
      </c>
      <c r="B531" s="135">
        <v>2</v>
      </c>
      <c r="C531" s="135" t="s">
        <v>2001</v>
      </c>
      <c r="D531" s="135" t="s">
        <v>749</v>
      </c>
      <c r="E531" s="135" t="s">
        <v>1552</v>
      </c>
      <c r="F531" s="135">
        <v>4</v>
      </c>
      <c r="G531" s="135">
        <v>1</v>
      </c>
      <c r="H531" s="135" t="s">
        <v>1742</v>
      </c>
      <c r="I531" s="178"/>
      <c r="J531" s="178"/>
      <c r="K531" s="179">
        <v>1.9430000000000001E-3</v>
      </c>
      <c r="L531" s="179">
        <v>0</v>
      </c>
      <c r="M531" s="180">
        <f>K531/(1-'Sac Parametreleri'!$B$27)</f>
        <v>2.369512195121951E-3</v>
      </c>
      <c r="N531" s="180">
        <f t="shared" si="36"/>
        <v>4.2651219512195092E-4</v>
      </c>
      <c r="O531" s="138">
        <f t="shared" si="37"/>
        <v>0.17999999999999988</v>
      </c>
      <c r="P531" s="181">
        <f>IF(E531="Hardox 450",INDEX('Sac Parametreleri'!$G$11:$G$24,MATCH(F531,'Sac Parametreleri'!$A$11:$A$24,0)),INDEX('Sac Parametreleri'!$E$11:$E$24,MATCH(F531,'Sac Parametreleri'!$A$11:$A$24,0)))</f>
        <v>25.12</v>
      </c>
      <c r="Q531" s="181">
        <f>INDEX('Sac Parametreleri'!$F$11:$F$24,MATCH(F531,'Sac Parametreleri'!$A$11:$A$24,0))</f>
        <v>10.276363636363635</v>
      </c>
      <c r="R531" s="182">
        <f t="shared" si="38"/>
        <v>5.5139151929046559E-2</v>
      </c>
      <c r="S531" s="182">
        <f t="shared" si="39"/>
        <v>5.5139151929046559E-2</v>
      </c>
      <c r="T531" s="139">
        <f>K531*F531*'Sac Parametreleri'!$B$6*G531</f>
        <v>6.1010200000000001E-2</v>
      </c>
      <c r="U531" s="139">
        <f>N531*F531*'Sac Parametreleri'!$B$6*G531</f>
        <v>1.3392482926829258E-2</v>
      </c>
      <c r="V531" s="139">
        <f>M531*F531*'Sac Parametreleri'!$B$6*G531</f>
        <v>7.4402682926829264E-2</v>
      </c>
      <c r="W531" s="135" t="s">
        <v>1520</v>
      </c>
    </row>
    <row r="532" spans="1:23" ht="15" customHeight="1" x14ac:dyDescent="0.25">
      <c r="A532" s="135" t="s">
        <v>476</v>
      </c>
      <c r="B532" s="135">
        <v>1</v>
      </c>
      <c r="C532" s="135" t="s">
        <v>950</v>
      </c>
      <c r="D532" s="135" t="s">
        <v>951</v>
      </c>
      <c r="E532" s="135" t="s">
        <v>1552</v>
      </c>
      <c r="F532" s="135">
        <v>2</v>
      </c>
      <c r="G532" s="135">
        <v>1</v>
      </c>
      <c r="H532" s="135" t="s">
        <v>1746</v>
      </c>
      <c r="I532" s="178"/>
      <c r="J532" s="178"/>
      <c r="K532" s="179">
        <v>1.0064E-2</v>
      </c>
      <c r="L532" s="179">
        <v>0</v>
      </c>
      <c r="M532" s="180">
        <f>K532/(1-'Sac Parametreleri'!$B$29)</f>
        <v>1.2755386565272496E-2</v>
      </c>
      <c r="N532" s="180">
        <f t="shared" si="36"/>
        <v>2.691386565272496E-3</v>
      </c>
      <c r="O532" s="138">
        <f t="shared" si="37"/>
        <v>0.21099999999999994</v>
      </c>
      <c r="P532" s="181">
        <f>IF(E532="Hardox 450",INDEX('Sac Parametreleri'!$G$11:$G$24,MATCH(F532,'Sac Parametreleri'!$A$11:$A$24,0)),INDEX('Sac Parametreleri'!$E$11:$E$24,MATCH(F532,'Sac Parametreleri'!$A$11:$A$24,0)))</f>
        <v>12.56</v>
      </c>
      <c r="Q532" s="181">
        <f>INDEX('Sac Parametreleri'!$F$11:$F$24,MATCH(F532,'Sac Parametreleri'!$A$11:$A$24,0))</f>
        <v>5.1381818181818177</v>
      </c>
      <c r="R532" s="182">
        <f t="shared" si="38"/>
        <v>0.14637882174444061</v>
      </c>
      <c r="S532" s="182">
        <f t="shared" si="39"/>
        <v>0.14637882174444061</v>
      </c>
      <c r="T532" s="139">
        <f>K532*F532*'Sac Parametreleri'!$B$6*G532</f>
        <v>0.1580048</v>
      </c>
      <c r="U532" s="139">
        <f>N532*F532*'Sac Parametreleri'!$B$6*G532</f>
        <v>4.2254769074778181E-2</v>
      </c>
      <c r="V532" s="139">
        <f>M532*F532*'Sac Parametreleri'!$B$6*G532</f>
        <v>0.20025956907477818</v>
      </c>
      <c r="W532" s="135" t="s">
        <v>1520</v>
      </c>
    </row>
    <row r="533" spans="1:23" ht="15" customHeight="1" x14ac:dyDescent="0.25">
      <c r="A533" s="135" t="s">
        <v>476</v>
      </c>
      <c r="B533" s="135">
        <v>2</v>
      </c>
      <c r="C533" s="135" t="s">
        <v>2002</v>
      </c>
      <c r="D533" s="135" t="s">
        <v>2003</v>
      </c>
      <c r="E533" s="135" t="s">
        <v>1552</v>
      </c>
      <c r="F533" s="135">
        <v>2</v>
      </c>
      <c r="G533" s="135">
        <v>1</v>
      </c>
      <c r="H533" s="135" t="s">
        <v>1742</v>
      </c>
      <c r="I533" s="178"/>
      <c r="J533" s="178"/>
      <c r="K533" s="179">
        <v>8.4080000000000005E-3</v>
      </c>
      <c r="L533" s="179">
        <v>0</v>
      </c>
      <c r="M533" s="180">
        <f>K533/(1-'Sac Parametreleri'!$B$27)</f>
        <v>1.0253658536585365E-2</v>
      </c>
      <c r="N533" s="180">
        <f t="shared" si="36"/>
        <v>1.8456585365853647E-3</v>
      </c>
      <c r="O533" s="138">
        <f t="shared" si="37"/>
        <v>0.17999999999999991</v>
      </c>
      <c r="P533" s="181">
        <f>IF(E533="Hardox 450",INDEX('Sac Parametreleri'!$G$11:$G$24,MATCH(F533,'Sac Parametreleri'!$A$11:$A$24,0)),INDEX('Sac Parametreleri'!$E$11:$E$24,MATCH(F533,'Sac Parametreleri'!$A$11:$A$24,0)))</f>
        <v>12.56</v>
      </c>
      <c r="Q533" s="181">
        <f>INDEX('Sac Parametreleri'!$F$11:$F$24,MATCH(F533,'Sac Parametreleri'!$A$11:$A$24,0))</f>
        <v>5.1381818181818177</v>
      </c>
      <c r="R533" s="182">
        <f t="shared" si="38"/>
        <v>0.11930262208425721</v>
      </c>
      <c r="S533" s="182">
        <f t="shared" si="39"/>
        <v>0.11930262208425721</v>
      </c>
      <c r="T533" s="139">
        <f>K533*F533*'Sac Parametreleri'!$B$6*G533</f>
        <v>0.1320056</v>
      </c>
      <c r="U533" s="139">
        <f>N533*F533*'Sac Parametreleri'!$B$6*G533</f>
        <v>2.8976839024390223E-2</v>
      </c>
      <c r="V533" s="139">
        <f>M533*F533*'Sac Parametreleri'!$B$6*G533</f>
        <v>0.16098243902439022</v>
      </c>
      <c r="W533" s="135" t="s">
        <v>1520</v>
      </c>
    </row>
    <row r="534" spans="1:23" ht="15" customHeight="1" x14ac:dyDescent="0.25">
      <c r="A534" s="135" t="s">
        <v>476</v>
      </c>
      <c r="B534" s="135">
        <v>3</v>
      </c>
      <c r="C534" s="135" t="s">
        <v>2004</v>
      </c>
      <c r="D534" s="135" t="s">
        <v>2005</v>
      </c>
      <c r="E534" s="135" t="s">
        <v>1552</v>
      </c>
      <c r="F534" s="135">
        <v>5</v>
      </c>
      <c r="G534" s="135">
        <v>1</v>
      </c>
      <c r="H534" s="135" t="s">
        <v>1742</v>
      </c>
      <c r="I534" s="178"/>
      <c r="J534" s="178"/>
      <c r="K534" s="179">
        <v>4.1529999999999996E-3</v>
      </c>
      <c r="L534" s="179">
        <v>0</v>
      </c>
      <c r="M534" s="180">
        <f>K534/(1-'Sac Parametreleri'!$B$27)</f>
        <v>5.0646341463414625E-3</v>
      </c>
      <c r="N534" s="180">
        <f t="shared" si="36"/>
        <v>9.1163414634146296E-4</v>
      </c>
      <c r="O534" s="138">
        <f t="shared" si="37"/>
        <v>0.17999999999999994</v>
      </c>
      <c r="P534" s="181">
        <f>IF(E534="Hardox 450",INDEX('Sac Parametreleri'!$G$11:$G$24,MATCH(F534,'Sac Parametreleri'!$A$11:$A$24,0)),INDEX('Sac Parametreleri'!$E$11:$E$24,MATCH(F534,'Sac Parametreleri'!$A$11:$A$24,0)))</f>
        <v>31.400000000000002</v>
      </c>
      <c r="Q534" s="181">
        <f>INDEX('Sac Parametreleri'!$F$11:$F$24,MATCH(F534,'Sac Parametreleri'!$A$11:$A$24,0))</f>
        <v>12.845454545454546</v>
      </c>
      <c r="R534" s="182">
        <f t="shared" si="38"/>
        <v>0.14731915720620842</v>
      </c>
      <c r="S534" s="182">
        <f t="shared" si="39"/>
        <v>0.14731915720620842</v>
      </c>
      <c r="T534" s="139">
        <f>K534*F534*'Sac Parametreleri'!$B$6*G534</f>
        <v>0.16300524999999999</v>
      </c>
      <c r="U534" s="139">
        <f>N534*F534*'Sac Parametreleri'!$B$6*G534</f>
        <v>3.5781640243902423E-2</v>
      </c>
      <c r="V534" s="139">
        <f>M534*F534*'Sac Parametreleri'!$B$6*G534</f>
        <v>0.19878689024390239</v>
      </c>
      <c r="W534" s="135" t="s">
        <v>1520</v>
      </c>
    </row>
    <row r="535" spans="1:23" ht="15" customHeight="1" x14ac:dyDescent="0.25">
      <c r="A535" s="135" t="s">
        <v>601</v>
      </c>
      <c r="B535" s="135">
        <v>1</v>
      </c>
      <c r="C535" s="135" t="s">
        <v>723</v>
      </c>
      <c r="D535" s="135" t="s">
        <v>724</v>
      </c>
      <c r="E535" s="135" t="s">
        <v>1552</v>
      </c>
      <c r="F535" s="135">
        <v>3</v>
      </c>
      <c r="G535" s="135">
        <v>1</v>
      </c>
      <c r="H535" s="135" t="s">
        <v>1830</v>
      </c>
      <c r="I535" s="178"/>
      <c r="J535" s="178"/>
      <c r="K535" s="179">
        <v>5.6899999999999997E-3</v>
      </c>
      <c r="L535" s="179">
        <v>0</v>
      </c>
      <c r="M535" s="180">
        <f>K535/(1-'Sac Parametreleri'!$B$29)</f>
        <v>7.2116603295310517E-3</v>
      </c>
      <c r="N535" s="180">
        <f t="shared" si="36"/>
        <v>1.521660329531052E-3</v>
      </c>
      <c r="O535" s="138">
        <f t="shared" si="37"/>
        <v>0.21099999999999999</v>
      </c>
      <c r="P535" s="181">
        <f>IF(E535="Hardox 450",INDEX('Sac Parametreleri'!$G$11:$G$24,MATCH(F535,'Sac Parametreleri'!$A$11:$A$24,0)),INDEX('Sac Parametreleri'!$E$11:$E$24,MATCH(F535,'Sac Parametreleri'!$A$11:$A$24,0)))</f>
        <v>18.84</v>
      </c>
      <c r="Q535" s="181">
        <f>INDEX('Sac Parametreleri'!$F$11:$F$24,MATCH(F535,'Sac Parametreleri'!$A$11:$A$24,0))</f>
        <v>7.7072727272727262</v>
      </c>
      <c r="R535" s="182">
        <f t="shared" si="38"/>
        <v>0.1241398294503975</v>
      </c>
      <c r="S535" s="182">
        <f t="shared" si="39"/>
        <v>0.1241398294503975</v>
      </c>
      <c r="T535" s="139">
        <f>K535*F535*'Sac Parametreleri'!$B$6*G535</f>
        <v>0.13399949999999999</v>
      </c>
      <c r="U535" s="139">
        <f>N535*F535*'Sac Parametreleri'!$B$6*G535</f>
        <v>3.5835100760456269E-2</v>
      </c>
      <c r="V535" s="139">
        <f>M535*F535*'Sac Parametreleri'!$B$6*G535</f>
        <v>0.16983460076045628</v>
      </c>
      <c r="W535" s="135" t="s">
        <v>1520</v>
      </c>
    </row>
    <row r="536" spans="1:23" ht="15" customHeight="1" x14ac:dyDescent="0.25">
      <c r="A536" s="135" t="s">
        <v>601</v>
      </c>
      <c r="B536" s="135">
        <v>2</v>
      </c>
      <c r="C536" s="135" t="s">
        <v>2006</v>
      </c>
      <c r="D536" s="135" t="s">
        <v>2007</v>
      </c>
      <c r="E536" s="135" t="s">
        <v>1552</v>
      </c>
      <c r="F536" s="135">
        <v>2</v>
      </c>
      <c r="G536" s="135">
        <v>1</v>
      </c>
      <c r="H536" s="135" t="s">
        <v>1742</v>
      </c>
      <c r="I536" s="178"/>
      <c r="J536" s="178"/>
      <c r="K536" s="179">
        <v>1.4649999999999999E-3</v>
      </c>
      <c r="L536" s="179">
        <v>0</v>
      </c>
      <c r="M536" s="180">
        <f>K536/(1-'Sac Parametreleri'!$B$27)</f>
        <v>1.7865853658536584E-3</v>
      </c>
      <c r="N536" s="180">
        <f t="shared" si="36"/>
        <v>3.2158536585365845E-4</v>
      </c>
      <c r="O536" s="138">
        <f t="shared" si="37"/>
        <v>0.17999999999999997</v>
      </c>
      <c r="P536" s="181">
        <f>IF(E536="Hardox 450",INDEX('Sac Parametreleri'!$G$11:$G$24,MATCH(F536,'Sac Parametreleri'!$A$11:$A$24,0)),INDEX('Sac Parametreleri'!$E$11:$E$24,MATCH(F536,'Sac Parametreleri'!$A$11:$A$24,0)))</f>
        <v>12.56</v>
      </c>
      <c r="Q536" s="181">
        <f>INDEX('Sac Parametreleri'!$F$11:$F$24,MATCH(F536,'Sac Parametreleri'!$A$11:$A$24,0))</f>
        <v>5.1381818181818177</v>
      </c>
      <c r="R536" s="182">
        <f t="shared" si="38"/>
        <v>2.0787148115299334E-2</v>
      </c>
      <c r="S536" s="182">
        <f t="shared" si="39"/>
        <v>2.0787148115299334E-2</v>
      </c>
      <c r="T536" s="139">
        <f>K536*F536*'Sac Parametreleri'!$B$6*G536</f>
        <v>2.3000499999999997E-2</v>
      </c>
      <c r="U536" s="139">
        <f>N536*F536*'Sac Parametreleri'!$B$6*G536</f>
        <v>5.0488902439024376E-3</v>
      </c>
      <c r="V536" s="139">
        <f>M536*F536*'Sac Parametreleri'!$B$6*G536</f>
        <v>2.8049390243902437E-2</v>
      </c>
      <c r="W536" s="135" t="s">
        <v>1520</v>
      </c>
    </row>
    <row r="537" spans="1:23" ht="15" customHeight="1" x14ac:dyDescent="0.25">
      <c r="A537" s="135" t="s">
        <v>539</v>
      </c>
      <c r="B537" s="135">
        <v>1</v>
      </c>
      <c r="C537" s="135" t="s">
        <v>718</v>
      </c>
      <c r="D537" s="135" t="s">
        <v>719</v>
      </c>
      <c r="E537" s="135" t="s">
        <v>1552</v>
      </c>
      <c r="F537" s="135">
        <v>6</v>
      </c>
      <c r="G537" s="135">
        <v>2</v>
      </c>
      <c r="H537" s="135" t="s">
        <v>1746</v>
      </c>
      <c r="I537" s="178"/>
      <c r="J537" s="178"/>
      <c r="K537" s="179">
        <v>2.017E-2</v>
      </c>
      <c r="L537" s="179">
        <v>0</v>
      </c>
      <c r="M537" s="180">
        <f>K537/(1-'Sac Parametreleri'!$B$29)</f>
        <v>2.556400506970849E-2</v>
      </c>
      <c r="N537" s="180">
        <f t="shared" si="36"/>
        <v>5.3940050697084893E-3</v>
      </c>
      <c r="O537" s="138">
        <f t="shared" si="37"/>
        <v>0.21099999999999991</v>
      </c>
      <c r="P537" s="181">
        <f>IF(E537="Hardox 450",INDEX('Sac Parametreleri'!$G$11:$G$24,MATCH(F537,'Sac Parametreleri'!$A$11:$A$24,0)),INDEX('Sac Parametreleri'!$E$11:$E$24,MATCH(F537,'Sac Parametreleri'!$A$11:$A$24,0)))</f>
        <v>37.68</v>
      </c>
      <c r="Q537" s="181">
        <f>INDEX('Sac Parametreleri'!$F$11:$F$24,MATCH(F537,'Sac Parametreleri'!$A$11:$A$24,0))</f>
        <v>15.414545454545452</v>
      </c>
      <c r="R537" s="182">
        <f t="shared" si="38"/>
        <v>0.8801055746975458</v>
      </c>
      <c r="S537" s="182">
        <f t="shared" si="39"/>
        <v>1.7602111493950916</v>
      </c>
      <c r="T537" s="139">
        <f>K537*F537*'Sac Parametreleri'!$B$6*G537</f>
        <v>1.9000139999999999</v>
      </c>
      <c r="U537" s="139">
        <f>N537*F537*'Sac Parametreleri'!$B$6*G537</f>
        <v>0.50811527756653962</v>
      </c>
      <c r="V537" s="139">
        <f>M537*F537*'Sac Parametreleri'!$B$6*G537</f>
        <v>2.4081292775665397</v>
      </c>
      <c r="W537" s="135" t="s">
        <v>1520</v>
      </c>
    </row>
    <row r="538" spans="1:23" ht="15" customHeight="1" x14ac:dyDescent="0.25">
      <c r="A538" s="135" t="s">
        <v>539</v>
      </c>
      <c r="B538" s="135">
        <v>2</v>
      </c>
      <c r="C538" s="135" t="s">
        <v>720</v>
      </c>
      <c r="D538" s="135" t="s">
        <v>721</v>
      </c>
      <c r="E538" s="135" t="s">
        <v>1552</v>
      </c>
      <c r="F538" s="135">
        <v>5</v>
      </c>
      <c r="G538" s="135">
        <v>1</v>
      </c>
      <c r="H538" s="135" t="s">
        <v>1746</v>
      </c>
      <c r="I538" s="178"/>
      <c r="J538" s="178"/>
      <c r="K538" s="179">
        <v>1.5032E-2</v>
      </c>
      <c r="L538" s="179">
        <v>0</v>
      </c>
      <c r="M538" s="180">
        <f>K538/(1-'Sac Parametreleri'!$B$29)</f>
        <v>1.9051964512040557E-2</v>
      </c>
      <c r="N538" s="180">
        <f t="shared" si="36"/>
        <v>4.0199645120405567E-3</v>
      </c>
      <c r="O538" s="138">
        <f t="shared" si="37"/>
        <v>0.21099999999999997</v>
      </c>
      <c r="P538" s="181">
        <f>IF(E538="Hardox 450",INDEX('Sac Parametreleri'!$G$11:$G$24,MATCH(F538,'Sac Parametreleri'!$A$11:$A$24,0)),INDEX('Sac Parametreleri'!$E$11:$E$24,MATCH(F538,'Sac Parametreleri'!$A$11:$A$24,0)))</f>
        <v>31.400000000000002</v>
      </c>
      <c r="Q538" s="181">
        <f>INDEX('Sac Parametreleri'!$F$11:$F$24,MATCH(F538,'Sac Parametreleri'!$A$11:$A$24,0))</f>
        <v>12.845454545454546</v>
      </c>
      <c r="R538" s="182">
        <f t="shared" si="38"/>
        <v>0.54659341426431618</v>
      </c>
      <c r="S538" s="182">
        <f t="shared" si="39"/>
        <v>0.54659341426431618</v>
      </c>
      <c r="T538" s="139">
        <f>K538*F538*'Sac Parametreleri'!$B$6*G538</f>
        <v>0.59000600000000003</v>
      </c>
      <c r="U538" s="139">
        <f>N538*F538*'Sac Parametreleri'!$B$6*G538</f>
        <v>0.15778360709759184</v>
      </c>
      <c r="V538" s="139">
        <f>M538*F538*'Sac Parametreleri'!$B$6*G538</f>
        <v>0.74778960709759179</v>
      </c>
      <c r="W538" s="135" t="s">
        <v>1520</v>
      </c>
    </row>
    <row r="539" spans="1:23" ht="15" customHeight="1" x14ac:dyDescent="0.25">
      <c r="A539" s="135" t="s">
        <v>539</v>
      </c>
      <c r="B539" s="135">
        <v>3</v>
      </c>
      <c r="C539" s="135" t="s">
        <v>2008</v>
      </c>
      <c r="D539" s="135" t="s">
        <v>721</v>
      </c>
      <c r="E539" s="135" t="s">
        <v>1552</v>
      </c>
      <c r="F539" s="135">
        <v>5</v>
      </c>
      <c r="G539" s="135">
        <v>1</v>
      </c>
      <c r="H539" s="135" t="s">
        <v>1742</v>
      </c>
      <c r="I539" s="178"/>
      <c r="J539" s="178"/>
      <c r="K539" s="179">
        <v>8.4080000000000005E-3</v>
      </c>
      <c r="L539" s="179">
        <v>0</v>
      </c>
      <c r="M539" s="180">
        <f>K539/(1-'Sac Parametreleri'!$B$27)</f>
        <v>1.0253658536585365E-2</v>
      </c>
      <c r="N539" s="180">
        <f t="shared" si="36"/>
        <v>1.8456585365853647E-3</v>
      </c>
      <c r="O539" s="138">
        <f t="shared" si="37"/>
        <v>0.17999999999999991</v>
      </c>
      <c r="P539" s="181">
        <f>IF(E539="Hardox 450",INDEX('Sac Parametreleri'!$G$11:$G$24,MATCH(F539,'Sac Parametreleri'!$A$11:$A$24,0)),INDEX('Sac Parametreleri'!$E$11:$E$24,MATCH(F539,'Sac Parametreleri'!$A$11:$A$24,0)))</f>
        <v>31.400000000000002</v>
      </c>
      <c r="Q539" s="181">
        <f>INDEX('Sac Parametreleri'!$F$11:$F$24,MATCH(F539,'Sac Parametreleri'!$A$11:$A$24,0))</f>
        <v>12.845454545454546</v>
      </c>
      <c r="R539" s="182">
        <f t="shared" si="38"/>
        <v>0.29825655521064304</v>
      </c>
      <c r="S539" s="182">
        <f t="shared" si="39"/>
        <v>0.29825655521064304</v>
      </c>
      <c r="T539" s="139">
        <f>K539*F539*'Sac Parametreleri'!$B$6*G539</f>
        <v>0.33001399999999997</v>
      </c>
      <c r="U539" s="139">
        <f>N539*F539*'Sac Parametreleri'!$B$6*G539</f>
        <v>7.2442097560975555E-2</v>
      </c>
      <c r="V539" s="139">
        <f>M539*F539*'Sac Parametreleri'!$B$6*G539</f>
        <v>0.40245609756097556</v>
      </c>
      <c r="W539" s="135" t="s">
        <v>1520</v>
      </c>
    </row>
    <row r="540" spans="1:23" ht="15" customHeight="1" x14ac:dyDescent="0.25">
      <c r="A540" s="135" t="s">
        <v>539</v>
      </c>
      <c r="B540" s="135">
        <v>4</v>
      </c>
      <c r="C540" s="135" t="s">
        <v>2009</v>
      </c>
      <c r="D540" s="135" t="s">
        <v>721</v>
      </c>
      <c r="E540" s="135" t="s">
        <v>1552</v>
      </c>
      <c r="F540" s="135">
        <v>5</v>
      </c>
      <c r="G540" s="135">
        <v>1</v>
      </c>
      <c r="H540" s="135" t="s">
        <v>1742</v>
      </c>
      <c r="I540" s="178"/>
      <c r="J540" s="178"/>
      <c r="K540" s="179">
        <v>1.0701E-2</v>
      </c>
      <c r="L540" s="179">
        <v>0</v>
      </c>
      <c r="M540" s="180">
        <f>K540/(1-'Sac Parametreleri'!$B$27)</f>
        <v>1.3049999999999999E-2</v>
      </c>
      <c r="N540" s="180">
        <f t="shared" si="36"/>
        <v>2.3489999999999987E-3</v>
      </c>
      <c r="O540" s="138">
        <f t="shared" si="37"/>
        <v>0.17999999999999991</v>
      </c>
      <c r="P540" s="181">
        <f>IF(E540="Hardox 450",INDEX('Sac Parametreleri'!$G$11:$G$24,MATCH(F540,'Sac Parametreleri'!$A$11:$A$24,0)),INDEX('Sac Parametreleri'!$E$11:$E$24,MATCH(F540,'Sac Parametreleri'!$A$11:$A$24,0)))</f>
        <v>31.400000000000002</v>
      </c>
      <c r="Q540" s="181">
        <f>INDEX('Sac Parametreleri'!$F$11:$F$24,MATCH(F540,'Sac Parametreleri'!$A$11:$A$24,0))</f>
        <v>12.845454545454546</v>
      </c>
      <c r="R540" s="182">
        <f t="shared" si="38"/>
        <v>0.37959602727272729</v>
      </c>
      <c r="S540" s="182">
        <f t="shared" si="39"/>
        <v>0.37959602727272729</v>
      </c>
      <c r="T540" s="139">
        <f>K540*F540*'Sac Parametreleri'!$B$6*G540</f>
        <v>0.42001425000000003</v>
      </c>
      <c r="U540" s="139">
        <f>N540*F540*'Sac Parametreleri'!$B$6*G540</f>
        <v>9.219824999999994E-2</v>
      </c>
      <c r="V540" s="139">
        <f>M540*F540*'Sac Parametreleri'!$B$6*G540</f>
        <v>0.51221249999999996</v>
      </c>
      <c r="W540" s="135" t="s">
        <v>1520</v>
      </c>
    </row>
    <row r="541" spans="1:23" ht="15" customHeight="1" x14ac:dyDescent="0.25">
      <c r="A541" s="135" t="s">
        <v>539</v>
      </c>
      <c r="B541" s="135">
        <v>5</v>
      </c>
      <c r="C541" s="135" t="s">
        <v>2010</v>
      </c>
      <c r="D541" s="135" t="s">
        <v>1881</v>
      </c>
      <c r="E541" s="135" t="s">
        <v>1552</v>
      </c>
      <c r="F541" s="135">
        <v>10</v>
      </c>
      <c r="G541" s="135">
        <v>1</v>
      </c>
      <c r="H541" s="135" t="s">
        <v>1742</v>
      </c>
      <c r="I541" s="178"/>
      <c r="J541" s="178"/>
      <c r="K541" s="179">
        <v>6.1149999999999998E-3</v>
      </c>
      <c r="L541" s="179">
        <v>0</v>
      </c>
      <c r="M541" s="180">
        <f>K541/(1-'Sac Parametreleri'!$B$27)</f>
        <v>7.4573170731707305E-3</v>
      </c>
      <c r="N541" s="180">
        <f t="shared" si="36"/>
        <v>1.3423170731707307E-3</v>
      </c>
      <c r="O541" s="138">
        <f t="shared" si="37"/>
        <v>0.17999999999999991</v>
      </c>
      <c r="P541" s="181">
        <f>IF(E541="Hardox 450",INDEX('Sac Parametreleri'!$G$11:$G$24,MATCH(F541,'Sac Parametreleri'!$A$11:$A$24,0)),INDEX('Sac Parametreleri'!$E$11:$E$24,MATCH(F541,'Sac Parametreleri'!$A$11:$A$24,0)))</f>
        <v>62.800000000000004</v>
      </c>
      <c r="Q541" s="181">
        <f>INDEX('Sac Parametreleri'!$F$11:$F$24,MATCH(F541,'Sac Parametreleri'!$A$11:$A$24,0))</f>
        <v>25.690909090909091</v>
      </c>
      <c r="R541" s="182">
        <f t="shared" si="38"/>
        <v>0.43383416629711752</v>
      </c>
      <c r="S541" s="182">
        <f t="shared" si="39"/>
        <v>0.43383416629711752</v>
      </c>
      <c r="T541" s="139">
        <f>K541*F541*'Sac Parametreleri'!$B$6*G541</f>
        <v>0.48002749999999994</v>
      </c>
      <c r="U541" s="139">
        <f>N541*F541*'Sac Parametreleri'!$B$6*G541</f>
        <v>0.10537189024390235</v>
      </c>
      <c r="V541" s="139">
        <f>M541*F541*'Sac Parametreleri'!$B$6*G541</f>
        <v>0.58539939024390231</v>
      </c>
      <c r="W541" s="135" t="s">
        <v>1520</v>
      </c>
    </row>
    <row r="542" spans="1:23" ht="15" customHeight="1" x14ac:dyDescent="0.25">
      <c r="A542" s="135" t="s">
        <v>539</v>
      </c>
      <c r="B542" s="135">
        <v>6</v>
      </c>
      <c r="C542" s="135" t="s">
        <v>722</v>
      </c>
      <c r="D542" s="135" t="s">
        <v>719</v>
      </c>
      <c r="E542" s="135" t="s">
        <v>1552</v>
      </c>
      <c r="F542" s="135">
        <v>6</v>
      </c>
      <c r="G542" s="135">
        <v>1</v>
      </c>
      <c r="H542" s="135" t="s">
        <v>1765</v>
      </c>
      <c r="I542" s="178"/>
      <c r="J542" s="178"/>
      <c r="K542" s="179">
        <v>3.4182999999999998E-2</v>
      </c>
      <c r="L542" s="179">
        <v>0</v>
      </c>
      <c r="M542" s="180">
        <f>K542/(1-'Sac Parametreleri'!$B$29)</f>
        <v>4.3324461343472745E-2</v>
      </c>
      <c r="N542" s="180">
        <f t="shared" si="36"/>
        <v>9.1414613434727468E-3</v>
      </c>
      <c r="O542" s="138">
        <f t="shared" si="37"/>
        <v>0.21099999999999994</v>
      </c>
      <c r="P542" s="181">
        <f>IF(E542="Hardox 450",INDEX('Sac Parametreleri'!$G$11:$G$24,MATCH(F542,'Sac Parametreleri'!$A$11:$A$24,0)),INDEX('Sac Parametreleri'!$E$11:$E$24,MATCH(F542,'Sac Parametreleri'!$A$11:$A$24,0)))</f>
        <v>37.68</v>
      </c>
      <c r="Q542" s="181">
        <f>INDEX('Sac Parametreleri'!$F$11:$F$24,MATCH(F542,'Sac Parametreleri'!$A$11:$A$24,0))</f>
        <v>15.414545454545452</v>
      </c>
      <c r="R542" s="182">
        <f t="shared" si="38"/>
        <v>1.4915542320221222</v>
      </c>
      <c r="S542" s="182">
        <f t="shared" si="39"/>
        <v>1.4915542320221222</v>
      </c>
      <c r="T542" s="139">
        <f>K542*F542*'Sac Parametreleri'!$B$6*G542</f>
        <v>1.6100193</v>
      </c>
      <c r="U542" s="139">
        <f>N542*F542*'Sac Parametreleri'!$B$6*G542</f>
        <v>0.43056282927756634</v>
      </c>
      <c r="V542" s="139">
        <f>M542*F542*'Sac Parametreleri'!$B$6*G542</f>
        <v>2.0405821292775665</v>
      </c>
      <c r="W542" s="135" t="s">
        <v>1520</v>
      </c>
    </row>
    <row r="543" spans="1:23" ht="15" customHeight="1" x14ac:dyDescent="0.25">
      <c r="A543" s="135" t="s">
        <v>568</v>
      </c>
      <c r="B543" s="135">
        <v>1</v>
      </c>
      <c r="C543" s="135" t="s">
        <v>1880</v>
      </c>
      <c r="D543" s="135" t="s">
        <v>1881</v>
      </c>
      <c r="E543" s="135" t="s">
        <v>1552</v>
      </c>
      <c r="F543" s="135">
        <v>10</v>
      </c>
      <c r="G543" s="135">
        <v>1</v>
      </c>
      <c r="H543" s="135" t="s">
        <v>1742</v>
      </c>
      <c r="I543" s="178"/>
      <c r="J543" s="178"/>
      <c r="K543" s="179">
        <v>7.0699999999999999E-3</v>
      </c>
      <c r="L543" s="179">
        <v>0</v>
      </c>
      <c r="M543" s="180">
        <f>K543/(1-'Sac Parametreleri'!$B$27)</f>
        <v>8.6219512195121941E-3</v>
      </c>
      <c r="N543" s="180">
        <f t="shared" si="36"/>
        <v>1.5519512195121942E-3</v>
      </c>
      <c r="O543" s="138">
        <f t="shared" si="37"/>
        <v>0.17999999999999991</v>
      </c>
      <c r="P543" s="181">
        <f>IF(E543="Hardox 450",INDEX('Sac Parametreleri'!$G$11:$G$24,MATCH(F543,'Sac Parametreleri'!$A$11:$A$24,0)),INDEX('Sac Parametreleri'!$E$11:$E$24,MATCH(F543,'Sac Parametreleri'!$A$11:$A$24,0)))</f>
        <v>62.800000000000004</v>
      </c>
      <c r="Q543" s="181">
        <f>INDEX('Sac Parametreleri'!$F$11:$F$24,MATCH(F543,'Sac Parametreleri'!$A$11:$A$24,0))</f>
        <v>25.690909090909091</v>
      </c>
      <c r="R543" s="182">
        <f t="shared" si="38"/>
        <v>0.50158749889135257</v>
      </c>
      <c r="S543" s="182">
        <f t="shared" si="39"/>
        <v>0.50158749889135257</v>
      </c>
      <c r="T543" s="139">
        <f>K543*F543*'Sac Parametreleri'!$B$6*G543</f>
        <v>0.55499500000000002</v>
      </c>
      <c r="U543" s="139">
        <f>N543*F543*'Sac Parametreleri'!$B$6*G543</f>
        <v>0.12182817073170724</v>
      </c>
      <c r="V543" s="139">
        <f>M543*F543*'Sac Parametreleri'!$B$6*G543</f>
        <v>0.67682317073170728</v>
      </c>
      <c r="W543" s="135" t="s">
        <v>1520</v>
      </c>
    </row>
    <row r="544" spans="1:23" ht="15" customHeight="1" x14ac:dyDescent="0.25">
      <c r="A544" s="135" t="s">
        <v>555</v>
      </c>
      <c r="B544" s="135">
        <v>1</v>
      </c>
      <c r="C544" s="135" t="s">
        <v>2011</v>
      </c>
      <c r="D544" s="135" t="s">
        <v>2012</v>
      </c>
      <c r="E544" s="135" t="s">
        <v>1552</v>
      </c>
      <c r="F544" s="135">
        <v>6</v>
      </c>
      <c r="G544" s="135">
        <v>1</v>
      </c>
      <c r="H544" s="135" t="s">
        <v>1742</v>
      </c>
      <c r="I544" s="178"/>
      <c r="J544" s="178"/>
      <c r="K544" s="179">
        <v>2.2505000000000001E-2</v>
      </c>
      <c r="L544" s="179">
        <v>0</v>
      </c>
      <c r="M544" s="180">
        <f>K544/(1-'Sac Parametreleri'!$B$27)</f>
        <v>2.7445121951219512E-2</v>
      </c>
      <c r="N544" s="180">
        <f t="shared" si="36"/>
        <v>4.9401219512195116E-3</v>
      </c>
      <c r="O544" s="138">
        <f t="shared" si="37"/>
        <v>0.17999999999999997</v>
      </c>
      <c r="P544" s="181">
        <f>IF(E544="Hardox 450",INDEX('Sac Parametreleri'!$G$11:$G$24,MATCH(F544,'Sac Parametreleri'!$A$11:$A$24,0)),INDEX('Sac Parametreleri'!$E$11:$E$24,MATCH(F544,'Sac Parametreleri'!$A$11:$A$24,0)))</f>
        <v>37.68</v>
      </c>
      <c r="Q544" s="181">
        <f>INDEX('Sac Parametreleri'!$F$11:$F$24,MATCH(F544,'Sac Parametreleri'!$A$11:$A$24,0))</f>
        <v>15.414545454545452</v>
      </c>
      <c r="R544" s="182">
        <f t="shared" si="38"/>
        <v>0.95798246075388038</v>
      </c>
      <c r="S544" s="182">
        <f t="shared" si="39"/>
        <v>0.95798246075388038</v>
      </c>
      <c r="T544" s="139">
        <f>K544*F544*'Sac Parametreleri'!$B$6*G544</f>
        <v>1.0599855</v>
      </c>
      <c r="U544" s="139">
        <f>N544*F544*'Sac Parametreleri'!$B$6*G544</f>
        <v>0.23267974390243898</v>
      </c>
      <c r="V544" s="139">
        <f>M544*F544*'Sac Parametreleri'!$B$6*G544</f>
        <v>1.2926652439024391</v>
      </c>
      <c r="W544" s="135" t="s">
        <v>1520</v>
      </c>
    </row>
  </sheetData>
  <autoFilter ref="A1:X544" xr:uid="{00000000-0009-0000-0000-000008000000}"/>
  <pageMargins left="0.75" right="0.75" top="1" bottom="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3"/>
  <sheetViews>
    <sheetView zoomScaleNormal="100" workbookViewId="0"/>
  </sheetViews>
  <sheetFormatPr defaultColWidth="8.7109375" defaultRowHeight="15" x14ac:dyDescent="0.25"/>
  <cols>
    <col min="1" max="1" width="40" customWidth="1"/>
    <col min="2" max="2" width="14" customWidth="1"/>
  </cols>
  <sheetData>
    <row r="1" spans="1:7" ht="15.75" customHeight="1" x14ac:dyDescent="0.25">
      <c r="A1" s="115" t="s">
        <v>2013</v>
      </c>
    </row>
    <row r="2" spans="1:7" ht="15" customHeight="1" x14ac:dyDescent="0.25">
      <c r="A2" s="65" t="s">
        <v>2014</v>
      </c>
    </row>
    <row r="4" spans="1:7" ht="15" customHeight="1" x14ac:dyDescent="0.25">
      <c r="A4" s="184" t="s">
        <v>381</v>
      </c>
      <c r="B4" s="185">
        <f>Parametreler!$B$5</f>
        <v>0.8</v>
      </c>
      <c r="C4" t="s">
        <v>2015</v>
      </c>
    </row>
    <row r="5" spans="1:7" ht="15" customHeight="1" x14ac:dyDescent="0.25">
      <c r="A5" s="184" t="s">
        <v>383</v>
      </c>
      <c r="B5" s="185">
        <f>Parametreler!$B$6</f>
        <v>0.32727272727272727</v>
      </c>
      <c r="C5" t="s">
        <v>2016</v>
      </c>
    </row>
    <row r="6" spans="1:7" ht="15" customHeight="1" x14ac:dyDescent="0.25">
      <c r="A6" s="184" t="s">
        <v>2017</v>
      </c>
      <c r="B6" s="186">
        <v>7.85</v>
      </c>
    </row>
    <row r="7" spans="1:7" ht="15" customHeight="1" x14ac:dyDescent="0.25">
      <c r="A7" s="184" t="s">
        <v>2018</v>
      </c>
      <c r="B7" s="187">
        <f>B4</f>
        <v>0.8</v>
      </c>
      <c r="C7" s="65" t="s">
        <v>2019</v>
      </c>
    </row>
    <row r="9" spans="1:7" ht="15" customHeight="1" x14ac:dyDescent="0.25">
      <c r="A9" s="148" t="s">
        <v>2020</v>
      </c>
    </row>
    <row r="10" spans="1:7" ht="39.75" customHeight="1" x14ac:dyDescent="0.25">
      <c r="A10" s="117" t="s">
        <v>1534</v>
      </c>
      <c r="B10" s="117" t="s">
        <v>2021</v>
      </c>
      <c r="C10" s="117" t="s">
        <v>2022</v>
      </c>
      <c r="D10" s="117" t="s">
        <v>2023</v>
      </c>
      <c r="E10" s="117" t="s">
        <v>1541</v>
      </c>
      <c r="F10" s="117" t="s">
        <v>1542</v>
      </c>
      <c r="G10" s="117" t="s">
        <v>2024</v>
      </c>
    </row>
    <row r="11" spans="1:7" ht="15" customHeight="1" x14ac:dyDescent="0.25">
      <c r="A11" s="118">
        <v>1</v>
      </c>
      <c r="B11" s="187">
        <f t="shared" ref="B11:B24" si="0">$B$4</f>
        <v>0.8</v>
      </c>
      <c r="C11" s="187">
        <f t="shared" ref="C11:C24" si="1">$B$5</f>
        <v>0.32727272727272727</v>
      </c>
      <c r="D11" s="122">
        <f t="shared" ref="D11:D24" si="2">A11*$B$6</f>
        <v>7.85</v>
      </c>
      <c r="E11" s="122">
        <f t="shared" ref="E11:E24" si="3">B11*D11</f>
        <v>6.28</v>
      </c>
      <c r="F11" s="122">
        <f t="shared" ref="F11:F24" si="4">C11*D11</f>
        <v>2.5690909090909089</v>
      </c>
      <c r="G11" s="122">
        <f t="shared" ref="G11:G24" si="5">$B$7*D11</f>
        <v>6.28</v>
      </c>
    </row>
    <row r="12" spans="1:7" ht="15" customHeight="1" x14ac:dyDescent="0.25">
      <c r="A12" s="118">
        <v>2</v>
      </c>
      <c r="B12" s="187">
        <f t="shared" si="0"/>
        <v>0.8</v>
      </c>
      <c r="C12" s="187">
        <f t="shared" si="1"/>
        <v>0.32727272727272727</v>
      </c>
      <c r="D12" s="122">
        <f t="shared" si="2"/>
        <v>15.7</v>
      </c>
      <c r="E12" s="122">
        <f t="shared" si="3"/>
        <v>12.56</v>
      </c>
      <c r="F12" s="122">
        <f t="shared" si="4"/>
        <v>5.1381818181818177</v>
      </c>
      <c r="G12" s="122">
        <f t="shared" si="5"/>
        <v>12.56</v>
      </c>
    </row>
    <row r="13" spans="1:7" ht="15" customHeight="1" x14ac:dyDescent="0.25">
      <c r="A13" s="118">
        <v>3</v>
      </c>
      <c r="B13" s="187">
        <f t="shared" si="0"/>
        <v>0.8</v>
      </c>
      <c r="C13" s="187">
        <f t="shared" si="1"/>
        <v>0.32727272727272727</v>
      </c>
      <c r="D13" s="122">
        <f t="shared" si="2"/>
        <v>23.549999999999997</v>
      </c>
      <c r="E13" s="122">
        <f t="shared" si="3"/>
        <v>18.84</v>
      </c>
      <c r="F13" s="122">
        <f t="shared" si="4"/>
        <v>7.7072727272727262</v>
      </c>
      <c r="G13" s="122">
        <f t="shared" si="5"/>
        <v>18.84</v>
      </c>
    </row>
    <row r="14" spans="1:7" ht="15" customHeight="1" x14ac:dyDescent="0.25">
      <c r="A14" s="118">
        <v>4</v>
      </c>
      <c r="B14" s="187">
        <f t="shared" si="0"/>
        <v>0.8</v>
      </c>
      <c r="C14" s="187">
        <f t="shared" si="1"/>
        <v>0.32727272727272727</v>
      </c>
      <c r="D14" s="122">
        <f t="shared" si="2"/>
        <v>31.4</v>
      </c>
      <c r="E14" s="122">
        <f t="shared" si="3"/>
        <v>25.12</v>
      </c>
      <c r="F14" s="122">
        <f t="shared" si="4"/>
        <v>10.276363636363635</v>
      </c>
      <c r="G14" s="122">
        <f t="shared" si="5"/>
        <v>25.12</v>
      </c>
    </row>
    <row r="15" spans="1:7" ht="15" customHeight="1" x14ac:dyDescent="0.25">
      <c r="A15" s="118">
        <v>5</v>
      </c>
      <c r="B15" s="187">
        <f t="shared" si="0"/>
        <v>0.8</v>
      </c>
      <c r="C15" s="187">
        <f t="shared" si="1"/>
        <v>0.32727272727272727</v>
      </c>
      <c r="D15" s="122">
        <f t="shared" si="2"/>
        <v>39.25</v>
      </c>
      <c r="E15" s="122">
        <f t="shared" si="3"/>
        <v>31.400000000000002</v>
      </c>
      <c r="F15" s="122">
        <f t="shared" si="4"/>
        <v>12.845454545454546</v>
      </c>
      <c r="G15" s="122">
        <f t="shared" si="5"/>
        <v>31.400000000000002</v>
      </c>
    </row>
    <row r="16" spans="1:7" ht="15" customHeight="1" x14ac:dyDescent="0.25">
      <c r="A16" s="118">
        <v>6</v>
      </c>
      <c r="B16" s="187">
        <f t="shared" si="0"/>
        <v>0.8</v>
      </c>
      <c r="C16" s="187">
        <f t="shared" si="1"/>
        <v>0.32727272727272727</v>
      </c>
      <c r="D16" s="122">
        <f t="shared" si="2"/>
        <v>47.099999999999994</v>
      </c>
      <c r="E16" s="122">
        <f t="shared" si="3"/>
        <v>37.68</v>
      </c>
      <c r="F16" s="122">
        <f t="shared" si="4"/>
        <v>15.414545454545452</v>
      </c>
      <c r="G16" s="122">
        <f t="shared" si="5"/>
        <v>37.68</v>
      </c>
    </row>
    <row r="17" spans="1:7" ht="15" customHeight="1" x14ac:dyDescent="0.25">
      <c r="A17" s="118">
        <v>8</v>
      </c>
      <c r="B17" s="187">
        <f t="shared" si="0"/>
        <v>0.8</v>
      </c>
      <c r="C17" s="187">
        <f t="shared" si="1"/>
        <v>0.32727272727272727</v>
      </c>
      <c r="D17" s="122">
        <f t="shared" si="2"/>
        <v>62.8</v>
      </c>
      <c r="E17" s="122">
        <f t="shared" si="3"/>
        <v>50.24</v>
      </c>
      <c r="F17" s="122">
        <f t="shared" si="4"/>
        <v>20.552727272727271</v>
      </c>
      <c r="G17" s="122">
        <f t="shared" si="5"/>
        <v>50.24</v>
      </c>
    </row>
    <row r="18" spans="1:7" ht="15" customHeight="1" x14ac:dyDescent="0.25">
      <c r="A18" s="118">
        <v>10</v>
      </c>
      <c r="B18" s="187">
        <f t="shared" si="0"/>
        <v>0.8</v>
      </c>
      <c r="C18" s="187">
        <f t="shared" si="1"/>
        <v>0.32727272727272727</v>
      </c>
      <c r="D18" s="122">
        <f t="shared" si="2"/>
        <v>78.5</v>
      </c>
      <c r="E18" s="122">
        <f t="shared" si="3"/>
        <v>62.800000000000004</v>
      </c>
      <c r="F18" s="122">
        <f t="shared" si="4"/>
        <v>25.690909090909091</v>
      </c>
      <c r="G18" s="122">
        <f t="shared" si="5"/>
        <v>62.800000000000004</v>
      </c>
    </row>
    <row r="19" spans="1:7" ht="15" customHeight="1" x14ac:dyDescent="0.25">
      <c r="A19" s="118">
        <v>12</v>
      </c>
      <c r="B19" s="187">
        <f t="shared" si="0"/>
        <v>0.8</v>
      </c>
      <c r="C19" s="187">
        <f t="shared" si="1"/>
        <v>0.32727272727272727</v>
      </c>
      <c r="D19" s="122">
        <f t="shared" si="2"/>
        <v>94.199999999999989</v>
      </c>
      <c r="E19" s="122">
        <f t="shared" si="3"/>
        <v>75.36</v>
      </c>
      <c r="F19" s="122">
        <f t="shared" si="4"/>
        <v>30.829090909090905</v>
      </c>
      <c r="G19" s="122">
        <f t="shared" si="5"/>
        <v>75.36</v>
      </c>
    </row>
    <row r="20" spans="1:7" ht="15" customHeight="1" x14ac:dyDescent="0.25">
      <c r="A20" s="118">
        <v>15</v>
      </c>
      <c r="B20" s="187">
        <f t="shared" si="0"/>
        <v>0.8</v>
      </c>
      <c r="C20" s="187">
        <f t="shared" si="1"/>
        <v>0.32727272727272727</v>
      </c>
      <c r="D20" s="122">
        <f t="shared" si="2"/>
        <v>117.75</v>
      </c>
      <c r="E20" s="122">
        <f t="shared" si="3"/>
        <v>94.2</v>
      </c>
      <c r="F20" s="122">
        <f t="shared" si="4"/>
        <v>38.536363636363639</v>
      </c>
      <c r="G20" s="122">
        <f t="shared" si="5"/>
        <v>94.2</v>
      </c>
    </row>
    <row r="21" spans="1:7" ht="15" customHeight="1" x14ac:dyDescent="0.25">
      <c r="A21" s="118">
        <v>16</v>
      </c>
      <c r="B21" s="187">
        <f t="shared" si="0"/>
        <v>0.8</v>
      </c>
      <c r="C21" s="187">
        <f t="shared" si="1"/>
        <v>0.32727272727272727</v>
      </c>
      <c r="D21" s="122">
        <f t="shared" si="2"/>
        <v>125.6</v>
      </c>
      <c r="E21" s="122">
        <f t="shared" si="3"/>
        <v>100.48</v>
      </c>
      <c r="F21" s="122">
        <f t="shared" si="4"/>
        <v>41.105454545454542</v>
      </c>
      <c r="G21" s="122">
        <f t="shared" si="5"/>
        <v>100.48</v>
      </c>
    </row>
    <row r="22" spans="1:7" ht="15" customHeight="1" x14ac:dyDescent="0.25">
      <c r="A22" s="118">
        <v>20</v>
      </c>
      <c r="B22" s="187">
        <f t="shared" si="0"/>
        <v>0.8</v>
      </c>
      <c r="C22" s="187">
        <f t="shared" si="1"/>
        <v>0.32727272727272727</v>
      </c>
      <c r="D22" s="122">
        <f t="shared" si="2"/>
        <v>157</v>
      </c>
      <c r="E22" s="122">
        <f t="shared" si="3"/>
        <v>125.60000000000001</v>
      </c>
      <c r="F22" s="122">
        <f t="shared" si="4"/>
        <v>51.381818181818183</v>
      </c>
      <c r="G22" s="122">
        <f t="shared" si="5"/>
        <v>125.60000000000001</v>
      </c>
    </row>
    <row r="23" spans="1:7" ht="15" customHeight="1" x14ac:dyDescent="0.25">
      <c r="A23" s="118">
        <v>25</v>
      </c>
      <c r="B23" s="187">
        <f t="shared" si="0"/>
        <v>0.8</v>
      </c>
      <c r="C23" s="187">
        <f t="shared" si="1"/>
        <v>0.32727272727272727</v>
      </c>
      <c r="D23" s="122">
        <f t="shared" si="2"/>
        <v>196.25</v>
      </c>
      <c r="E23" s="122">
        <f t="shared" si="3"/>
        <v>157</v>
      </c>
      <c r="F23" s="122">
        <f t="shared" si="4"/>
        <v>64.227272727272734</v>
      </c>
      <c r="G23" s="122">
        <f t="shared" si="5"/>
        <v>157</v>
      </c>
    </row>
    <row r="24" spans="1:7" ht="15" customHeight="1" x14ac:dyDescent="0.25">
      <c r="A24" s="118">
        <v>30</v>
      </c>
      <c r="B24" s="187">
        <f t="shared" si="0"/>
        <v>0.8</v>
      </c>
      <c r="C24" s="187">
        <f t="shared" si="1"/>
        <v>0.32727272727272727</v>
      </c>
      <c r="D24" s="122">
        <f t="shared" si="2"/>
        <v>235.5</v>
      </c>
      <c r="E24" s="122">
        <f t="shared" si="3"/>
        <v>188.4</v>
      </c>
      <c r="F24" s="122">
        <f t="shared" si="4"/>
        <v>77.072727272727278</v>
      </c>
      <c r="G24" s="122">
        <f t="shared" si="5"/>
        <v>188.4</v>
      </c>
    </row>
    <row r="26" spans="1:7" ht="15" customHeight="1" x14ac:dyDescent="0.25">
      <c r="A26" s="148" t="s">
        <v>2025</v>
      </c>
    </row>
    <row r="27" spans="1:7" ht="15" customHeight="1" x14ac:dyDescent="0.25">
      <c r="A27" s="184" t="s">
        <v>2026</v>
      </c>
      <c r="B27" s="188">
        <v>0.18</v>
      </c>
    </row>
    <row r="28" spans="1:7" ht="15" customHeight="1" x14ac:dyDescent="0.25">
      <c r="A28" s="184" t="s">
        <v>2027</v>
      </c>
      <c r="B28" s="188">
        <v>0.42399999999999999</v>
      </c>
    </row>
    <row r="29" spans="1:7" ht="15" customHeight="1" x14ac:dyDescent="0.25">
      <c r="A29" s="184" t="s">
        <v>2028</v>
      </c>
      <c r="B29" s="188">
        <v>0.21099999999999999</v>
      </c>
    </row>
    <row r="32" spans="1:7" ht="15" customHeight="1" x14ac:dyDescent="0.25">
      <c r="A32" s="148" t="s">
        <v>2029</v>
      </c>
    </row>
    <row r="33" spans="1:1" ht="15" customHeight="1" x14ac:dyDescent="0.25">
      <c r="A33" s="189" t="s">
        <v>2030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1"/>
  <sheetViews>
    <sheetView zoomScaleNormal="100" workbookViewId="0"/>
  </sheetViews>
  <sheetFormatPr defaultColWidth="8.7109375" defaultRowHeight="15" x14ac:dyDescent="0.25"/>
  <cols>
    <col min="1" max="1" width="10" customWidth="1"/>
    <col min="2" max="2" width="30" customWidth="1"/>
    <col min="3" max="3" width="9" customWidth="1"/>
    <col min="4" max="4" width="11" customWidth="1"/>
    <col min="5" max="5" width="80" customWidth="1"/>
    <col min="6" max="6" width="12" customWidth="1"/>
    <col min="8" max="8" width="11" customWidth="1"/>
    <col min="9" max="9" width="9" customWidth="1"/>
    <col min="10" max="10" width="12" customWidth="1"/>
  </cols>
  <sheetData>
    <row r="1" spans="1:10" ht="15.75" customHeight="1" x14ac:dyDescent="0.25">
      <c r="A1" s="115" t="s">
        <v>2031</v>
      </c>
    </row>
    <row r="2" spans="1:10" ht="15" customHeight="1" x14ac:dyDescent="0.25">
      <c r="A2" s="65" t="s">
        <v>2032</v>
      </c>
    </row>
    <row r="4" spans="1:10" ht="31.5" customHeight="1" x14ac:dyDescent="0.25">
      <c r="A4" s="117" t="s">
        <v>1487</v>
      </c>
      <c r="B4" s="117" t="s">
        <v>1488</v>
      </c>
      <c r="C4" s="117" t="s">
        <v>2033</v>
      </c>
      <c r="D4" s="117" t="s">
        <v>691</v>
      </c>
      <c r="E4" s="117" t="s">
        <v>2034</v>
      </c>
      <c r="F4" s="117" t="s">
        <v>2035</v>
      </c>
      <c r="G4" s="117" t="s">
        <v>2036</v>
      </c>
      <c r="H4" s="117" t="s">
        <v>2037</v>
      </c>
      <c r="I4" s="117" t="s">
        <v>1490</v>
      </c>
      <c r="J4" s="117" t="s">
        <v>2038</v>
      </c>
    </row>
    <row r="5" spans="1:10" ht="32.25" customHeight="1" x14ac:dyDescent="0.25">
      <c r="A5" s="190" t="s">
        <v>179</v>
      </c>
      <c r="B5" s="190" t="s">
        <v>180</v>
      </c>
      <c r="C5" s="190" t="s">
        <v>85</v>
      </c>
      <c r="D5" s="190" t="s">
        <v>805</v>
      </c>
      <c r="E5" s="183" t="s">
        <v>1567</v>
      </c>
      <c r="F5" s="191">
        <v>90.358398629220005</v>
      </c>
      <c r="G5" s="191">
        <f>'Sac Özet'!N7</f>
        <v>72.30907423545456</v>
      </c>
      <c r="H5" s="192">
        <f t="shared" ref="H5:H13" si="0">G5-F5</f>
        <v>-18.049324393765446</v>
      </c>
      <c r="I5" s="190">
        <f>'Sac Özet'!D7</f>
        <v>10</v>
      </c>
      <c r="J5" s="192">
        <f t="shared" ref="J5:J13" si="1">H5*I5</f>
        <v>-180.49324393765446</v>
      </c>
    </row>
    <row r="6" spans="1:10" ht="21.75" customHeight="1" x14ac:dyDescent="0.25">
      <c r="A6" s="190" t="s">
        <v>492</v>
      </c>
      <c r="B6" s="190" t="s">
        <v>175</v>
      </c>
      <c r="C6" s="190" t="s">
        <v>85</v>
      </c>
      <c r="D6" s="190" t="s">
        <v>1669</v>
      </c>
      <c r="E6" s="183" t="s">
        <v>1671</v>
      </c>
      <c r="F6" s="191">
        <v>11.671728615359999</v>
      </c>
      <c r="G6" s="191">
        <f>'Sac Özet'!N44</f>
        <v>9.4209842472727274</v>
      </c>
      <c r="H6" s="192">
        <f t="shared" si="0"/>
        <v>-2.2507443680872719</v>
      </c>
      <c r="I6" s="190">
        <f>'Sac Özet'!D44</f>
        <v>32</v>
      </c>
      <c r="J6" s="192">
        <f t="shared" si="1"/>
        <v>-72.023819778792699</v>
      </c>
    </row>
    <row r="7" spans="1:10" ht="21.75" customHeight="1" x14ac:dyDescent="0.25">
      <c r="A7" s="190" t="s">
        <v>603</v>
      </c>
      <c r="B7" s="190" t="s">
        <v>329</v>
      </c>
      <c r="C7" s="190" t="s">
        <v>85</v>
      </c>
      <c r="D7" s="190" t="s">
        <v>1701</v>
      </c>
      <c r="E7" s="183" t="s">
        <v>1702</v>
      </c>
      <c r="F7" s="191">
        <v>8.3383689542111998</v>
      </c>
      <c r="G7" s="191">
        <f>'Sac Özet'!N53</f>
        <v>6.792326944436363</v>
      </c>
      <c r="H7" s="192">
        <f t="shared" si="0"/>
        <v>-1.5460420097748369</v>
      </c>
      <c r="I7" s="190">
        <f>'Sac Özet'!D53</f>
        <v>10</v>
      </c>
      <c r="J7" s="192">
        <f t="shared" si="1"/>
        <v>-15.460420097748369</v>
      </c>
    </row>
    <row r="8" spans="1:10" ht="21.75" customHeight="1" x14ac:dyDescent="0.25">
      <c r="A8" s="190" t="s">
        <v>513</v>
      </c>
      <c r="B8" s="190" t="s">
        <v>207</v>
      </c>
      <c r="C8" s="190" t="s">
        <v>85</v>
      </c>
      <c r="D8" s="190" t="s">
        <v>1705</v>
      </c>
      <c r="E8" s="183" t="s">
        <v>1706</v>
      </c>
      <c r="F8" s="191">
        <v>8.4464563176191998</v>
      </c>
      <c r="G8" s="191">
        <f>'Sac Özet'!N54</f>
        <v>6.8428360709818188</v>
      </c>
      <c r="H8" s="192">
        <f t="shared" si="0"/>
        <v>-1.603620246637381</v>
      </c>
      <c r="I8" s="190">
        <f>'Sac Özet'!D54</f>
        <v>16</v>
      </c>
      <c r="J8" s="192">
        <f t="shared" si="1"/>
        <v>-25.657923946198096</v>
      </c>
    </row>
    <row r="9" spans="1:10" ht="21.75" customHeight="1" x14ac:dyDescent="0.25">
      <c r="A9" s="190" t="s">
        <v>512</v>
      </c>
      <c r="B9" s="190" t="s">
        <v>206</v>
      </c>
      <c r="C9" s="190" t="s">
        <v>85</v>
      </c>
      <c r="D9" s="190" t="s">
        <v>1720</v>
      </c>
      <c r="E9" s="183" t="s">
        <v>1721</v>
      </c>
      <c r="F9" s="191">
        <v>11.07340086176</v>
      </c>
      <c r="G9" s="191">
        <f>'Sac Özet'!N58</f>
        <v>8.9030977672727278</v>
      </c>
      <c r="H9" s="192">
        <f t="shared" si="0"/>
        <v>-2.1703030944872719</v>
      </c>
      <c r="I9" s="190">
        <f>'Sac Özet'!D58</f>
        <v>56</v>
      </c>
      <c r="J9" s="192">
        <f t="shared" si="1"/>
        <v>-121.53697329128723</v>
      </c>
    </row>
    <row r="10" spans="1:10" ht="21.75" customHeight="1" x14ac:dyDescent="0.25">
      <c r="A10" s="190" t="s">
        <v>620</v>
      </c>
      <c r="B10" s="190" t="s">
        <v>354</v>
      </c>
      <c r="C10" s="190" t="s">
        <v>1520</v>
      </c>
      <c r="D10" s="190" t="s">
        <v>1770</v>
      </c>
      <c r="E10" s="183" t="s">
        <v>1773</v>
      </c>
      <c r="F10" s="191">
        <v>3.2159000217951199</v>
      </c>
      <c r="G10" s="191">
        <f>'Sac Özet'!N73</f>
        <v>2.2893340363636363</v>
      </c>
      <c r="H10" s="192">
        <f t="shared" si="0"/>
        <v>-0.92656598543148361</v>
      </c>
      <c r="I10" s="190">
        <f>'Sac Özet'!D73</f>
        <v>10</v>
      </c>
      <c r="J10" s="192">
        <f t="shared" si="1"/>
        <v>-9.265659854314837</v>
      </c>
    </row>
    <row r="11" spans="1:10" ht="21.75" customHeight="1" x14ac:dyDescent="0.25">
      <c r="A11" s="190" t="s">
        <v>609</v>
      </c>
      <c r="B11" s="190" t="s">
        <v>337</v>
      </c>
      <c r="C11" s="190" t="s">
        <v>1520</v>
      </c>
      <c r="D11" s="190" t="s">
        <v>805</v>
      </c>
      <c r="E11" s="183" t="s">
        <v>1790</v>
      </c>
      <c r="F11" s="191">
        <v>7.5444651937348501</v>
      </c>
      <c r="G11" s="191">
        <f>'Sac Özet'!N78</f>
        <v>5.1125151727272735</v>
      </c>
      <c r="H11" s="192">
        <f t="shared" si="0"/>
        <v>-2.4319500210075766</v>
      </c>
      <c r="I11" s="190">
        <f>'Sac Özet'!D78</f>
        <v>10</v>
      </c>
      <c r="J11" s="192">
        <f t="shared" si="1"/>
        <v>-24.319500210075766</v>
      </c>
    </row>
    <row r="12" spans="1:10" ht="21.75" customHeight="1" x14ac:dyDescent="0.25">
      <c r="A12" s="190" t="s">
        <v>494</v>
      </c>
      <c r="B12" s="190" t="s">
        <v>178</v>
      </c>
      <c r="C12" s="190" t="s">
        <v>1520</v>
      </c>
      <c r="D12" s="190" t="s">
        <v>1818</v>
      </c>
      <c r="E12" s="183" t="s">
        <v>1820</v>
      </c>
      <c r="F12" s="191">
        <v>6.5325309103932296</v>
      </c>
      <c r="G12" s="191">
        <f>'Sac Özet'!N88</f>
        <v>5.1515321235119256</v>
      </c>
      <c r="H12" s="192">
        <f t="shared" si="0"/>
        <v>-1.3809987868813041</v>
      </c>
      <c r="I12" s="190">
        <f>'Sac Özet'!D88</f>
        <v>52</v>
      </c>
      <c r="J12" s="192">
        <f t="shared" si="1"/>
        <v>-71.811936917827808</v>
      </c>
    </row>
    <row r="13" spans="1:10" ht="21.75" customHeight="1" x14ac:dyDescent="0.25">
      <c r="A13" s="190" t="s">
        <v>501</v>
      </c>
      <c r="B13" s="190" t="s">
        <v>192</v>
      </c>
      <c r="C13" s="190" t="s">
        <v>1520</v>
      </c>
      <c r="D13" s="190" t="s">
        <v>1818</v>
      </c>
      <c r="E13" s="183" t="s">
        <v>1820</v>
      </c>
      <c r="F13" s="191">
        <v>4.57152600350837</v>
      </c>
      <c r="G13" s="191">
        <f>'Sac Özet'!N115</f>
        <v>3.6229322973937084</v>
      </c>
      <c r="H13" s="192">
        <f t="shared" si="0"/>
        <v>-0.94859370611466165</v>
      </c>
      <c r="I13" s="190">
        <f>'Sac Özet'!D115</f>
        <v>52</v>
      </c>
      <c r="J13" s="192">
        <f t="shared" si="1"/>
        <v>-49.326872717962402</v>
      </c>
    </row>
    <row r="14" spans="1:10" ht="15" customHeight="1" x14ac:dyDescent="0.25">
      <c r="A14" s="148" t="s">
        <v>2039</v>
      </c>
      <c r="J14" s="193">
        <f>SUMPRODUCT(H5:H13,I5:I13)</f>
        <v>-569.89635075186163</v>
      </c>
    </row>
    <row r="15" spans="1:10" ht="15" customHeight="1" x14ac:dyDescent="0.25">
      <c r="A15" s="65" t="s">
        <v>2040</v>
      </c>
    </row>
    <row r="17" spans="1:1" ht="15" customHeight="1" x14ac:dyDescent="0.25">
      <c r="A17" s="148" t="s">
        <v>2041</v>
      </c>
    </row>
    <row r="18" spans="1:1" ht="15" customHeight="1" x14ac:dyDescent="0.25">
      <c r="A18" s="105" t="s">
        <v>2042</v>
      </c>
    </row>
    <row r="19" spans="1:1" ht="15" customHeight="1" x14ac:dyDescent="0.25">
      <c r="A19" s="105" t="s">
        <v>2043</v>
      </c>
    </row>
    <row r="20" spans="1:1" ht="15" customHeight="1" x14ac:dyDescent="0.25">
      <c r="A20" s="105" t="s">
        <v>2044</v>
      </c>
    </row>
    <row r="21" spans="1:1" ht="15" customHeight="1" x14ac:dyDescent="0.25">
      <c r="A21" s="105" t="s">
        <v>2045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13"/>
  <sheetViews>
    <sheetView zoomScaleNormal="100" workbookViewId="0"/>
  </sheetViews>
  <sheetFormatPr defaultColWidth="8.7109375" defaultRowHeight="15" x14ac:dyDescent="0.25"/>
  <cols>
    <col min="1" max="1" width="150" customWidth="1"/>
  </cols>
  <sheetData>
    <row r="1" spans="1:1" ht="15" customHeight="1" x14ac:dyDescent="0.25">
      <c r="A1" s="148" t="s">
        <v>431</v>
      </c>
    </row>
    <row r="2" spans="1:1" ht="15" customHeight="1" x14ac:dyDescent="0.25">
      <c r="A2" s="184" t="s">
        <v>2046</v>
      </c>
    </row>
    <row r="3" spans="1:1" ht="15" customHeight="1" x14ac:dyDescent="0.25">
      <c r="A3" s="184" t="s">
        <v>2047</v>
      </c>
    </row>
    <row r="4" spans="1:1" ht="15" customHeight="1" x14ac:dyDescent="0.25">
      <c r="A4" s="184" t="s">
        <v>2048</v>
      </c>
    </row>
    <row r="5" spans="1:1" ht="15" customHeight="1" x14ac:dyDescent="0.25">
      <c r="A5" s="184" t="s">
        <v>2049</v>
      </c>
    </row>
    <row r="6" spans="1:1" ht="15" customHeight="1" x14ac:dyDescent="0.25">
      <c r="A6" s="184" t="s">
        <v>2050</v>
      </c>
    </row>
    <row r="7" spans="1:1" ht="15" customHeight="1" x14ac:dyDescent="0.25">
      <c r="A7" s="184" t="s">
        <v>2051</v>
      </c>
    </row>
    <row r="8" spans="1:1" ht="15" customHeight="1" x14ac:dyDescent="0.25">
      <c r="A8" s="184" t="s">
        <v>2052</v>
      </c>
    </row>
    <row r="9" spans="1:1" ht="15" customHeight="1" x14ac:dyDescent="0.25">
      <c r="A9" s="184" t="s">
        <v>2053</v>
      </c>
    </row>
    <row r="10" spans="1:1" ht="15" customHeight="1" x14ac:dyDescent="0.25">
      <c r="A10" s="184" t="s">
        <v>2054</v>
      </c>
    </row>
    <row r="11" spans="1:1" ht="15" customHeight="1" x14ac:dyDescent="0.25">
      <c r="A11" s="184" t="s">
        <v>2055</v>
      </c>
    </row>
    <row r="12" spans="1:1" ht="15" customHeight="1" x14ac:dyDescent="0.25">
      <c r="A12" s="184" t="s">
        <v>2056</v>
      </c>
    </row>
    <row r="13" spans="1:1" ht="15" customHeight="1" x14ac:dyDescent="0.25">
      <c r="A13" s="184" t="s">
        <v>2057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08"/>
  <sheetViews>
    <sheetView zoomScaleNormal="100" workbookViewId="0">
      <pane ySplit="1" topLeftCell="A44" activePane="bottomLeft" state="frozen"/>
      <selection pane="bottomLeft" activeCell="A77" sqref="A77"/>
    </sheetView>
  </sheetViews>
  <sheetFormatPr defaultColWidth="8.7109375" defaultRowHeight="15" x14ac:dyDescent="0.25"/>
  <cols>
    <col min="1" max="1" width="10" customWidth="1"/>
    <col min="2" max="2" width="16" customWidth="1"/>
    <col min="3" max="3" width="60.85546875" customWidth="1"/>
    <col min="4" max="4" width="13" customWidth="1"/>
    <col min="5" max="5" width="9" customWidth="1"/>
    <col min="6" max="6" width="65.5703125" hidden="1" customWidth="1"/>
    <col min="7" max="7" width="11.5703125" hidden="1" customWidth="1"/>
    <col min="8" max="8" width="13" customWidth="1"/>
    <col min="9" max="9" width="24" hidden="1" customWidth="1"/>
    <col min="10" max="10" width="94.28515625" customWidth="1"/>
    <col min="11" max="11" width="10" style="194" customWidth="1"/>
    <col min="12" max="12" width="13" customWidth="1"/>
  </cols>
  <sheetData>
    <row r="1" spans="1:12" ht="30" customHeight="1" x14ac:dyDescent="0.25">
      <c r="A1" s="195" t="s">
        <v>1487</v>
      </c>
      <c r="B1" s="195" t="s">
        <v>691</v>
      </c>
      <c r="C1" s="195" t="s">
        <v>1532</v>
      </c>
      <c r="D1" s="195" t="s">
        <v>2058</v>
      </c>
      <c r="E1" s="195" t="s">
        <v>1535</v>
      </c>
      <c r="F1" s="195" t="s">
        <v>2059</v>
      </c>
      <c r="G1" s="195" t="s">
        <v>52</v>
      </c>
      <c r="H1" s="196" t="s">
        <v>2060</v>
      </c>
      <c r="I1" s="196" t="s">
        <v>2061</v>
      </c>
      <c r="J1" s="196" t="s">
        <v>2062</v>
      </c>
      <c r="K1" s="197" t="s">
        <v>2063</v>
      </c>
      <c r="L1" s="198" t="s">
        <v>2064</v>
      </c>
    </row>
    <row r="2" spans="1:12" ht="15" customHeight="1" x14ac:dyDescent="0.25">
      <c r="A2" s="16">
        <v>1343489</v>
      </c>
      <c r="B2" s="16" t="s">
        <v>2065</v>
      </c>
      <c r="C2" s="16" t="s">
        <v>2066</v>
      </c>
      <c r="D2" s="16" t="s">
        <v>2067</v>
      </c>
      <c r="E2" s="16">
        <v>1</v>
      </c>
      <c r="F2" s="16" t="s">
        <v>2068</v>
      </c>
      <c r="G2" s="16" t="s">
        <v>85</v>
      </c>
      <c r="H2" s="199" t="s">
        <v>2069</v>
      </c>
      <c r="I2" s="16" t="s">
        <v>130</v>
      </c>
      <c r="J2" s="16" t="s">
        <v>2070</v>
      </c>
      <c r="K2" s="194">
        <v>7.59</v>
      </c>
      <c r="L2" s="200">
        <f t="shared" ref="L2:L33" si="0">IF(ISNUMBER(K2),E2*K2,0)</f>
        <v>7.59</v>
      </c>
    </row>
    <row r="3" spans="1:12" ht="15" customHeight="1" x14ac:dyDescent="0.25">
      <c r="A3" s="16">
        <v>1343489</v>
      </c>
      <c r="B3" s="16" t="s">
        <v>2071</v>
      </c>
      <c r="C3" s="16" t="s">
        <v>416</v>
      </c>
      <c r="D3" s="16" t="s">
        <v>2072</v>
      </c>
      <c r="E3" s="16">
        <v>2</v>
      </c>
      <c r="F3" s="16" t="s">
        <v>2073</v>
      </c>
      <c r="G3" s="16" t="s">
        <v>85</v>
      </c>
      <c r="H3" s="201" t="s">
        <v>2074</v>
      </c>
      <c r="I3" s="202" t="s">
        <v>2075</v>
      </c>
      <c r="J3" s="16" t="s">
        <v>2076</v>
      </c>
      <c r="K3" s="194">
        <v>0</v>
      </c>
      <c r="L3" s="200">
        <f t="shared" si="0"/>
        <v>0</v>
      </c>
    </row>
    <row r="4" spans="1:12" ht="15" customHeight="1" x14ac:dyDescent="0.25">
      <c r="A4" s="16">
        <v>1343489</v>
      </c>
      <c r="B4" s="16" t="s">
        <v>2077</v>
      </c>
      <c r="C4" s="16" t="s">
        <v>2078</v>
      </c>
      <c r="D4" s="16" t="s">
        <v>2067</v>
      </c>
      <c r="E4" s="16">
        <v>1</v>
      </c>
      <c r="F4" s="16" t="s">
        <v>2068</v>
      </c>
      <c r="G4" s="16" t="s">
        <v>85</v>
      </c>
      <c r="H4" s="199" t="s">
        <v>2069</v>
      </c>
      <c r="I4" s="16" t="s">
        <v>130</v>
      </c>
      <c r="J4" s="16" t="s">
        <v>2070</v>
      </c>
      <c r="K4" s="194">
        <v>7.15</v>
      </c>
      <c r="L4" s="200">
        <f t="shared" si="0"/>
        <v>7.15</v>
      </c>
    </row>
    <row r="5" spans="1:12" ht="15" customHeight="1" x14ac:dyDescent="0.25">
      <c r="A5" s="16">
        <v>1343489</v>
      </c>
      <c r="B5" s="16" t="s">
        <v>869</v>
      </c>
      <c r="C5" s="16" t="s">
        <v>870</v>
      </c>
      <c r="D5" s="16" t="s">
        <v>2067</v>
      </c>
      <c r="E5" s="16">
        <v>2</v>
      </c>
      <c r="F5" s="16" t="s">
        <v>2068</v>
      </c>
      <c r="G5" s="16" t="s">
        <v>85</v>
      </c>
      <c r="H5" s="201" t="s">
        <v>2074</v>
      </c>
      <c r="I5" s="202" t="s">
        <v>2075</v>
      </c>
      <c r="J5" s="16" t="s">
        <v>2079</v>
      </c>
      <c r="K5" s="194">
        <v>8.1999999999999993</v>
      </c>
      <c r="L5" s="200">
        <f t="shared" si="0"/>
        <v>16.399999999999999</v>
      </c>
    </row>
    <row r="6" spans="1:12" ht="15" customHeight="1" x14ac:dyDescent="0.25">
      <c r="A6" s="203">
        <v>1343489</v>
      </c>
      <c r="B6" s="16" t="s">
        <v>2080</v>
      </c>
      <c r="C6" s="203" t="s">
        <v>2081</v>
      </c>
      <c r="D6" s="203" t="s">
        <v>2067</v>
      </c>
      <c r="E6" s="203">
        <v>2</v>
      </c>
      <c r="F6" s="16" t="s">
        <v>2068</v>
      </c>
      <c r="G6" s="16" t="s">
        <v>85</v>
      </c>
      <c r="H6" s="199" t="s">
        <v>2069</v>
      </c>
      <c r="I6" s="16" t="s">
        <v>130</v>
      </c>
      <c r="J6" s="16" t="s">
        <v>2082</v>
      </c>
      <c r="K6" s="194">
        <v>8.5</v>
      </c>
      <c r="L6" s="200">
        <f t="shared" si="0"/>
        <v>17</v>
      </c>
    </row>
    <row r="7" spans="1:12" ht="15" customHeight="1" x14ac:dyDescent="0.25">
      <c r="A7" s="16">
        <v>1343489</v>
      </c>
      <c r="B7" s="16" t="s">
        <v>2084</v>
      </c>
      <c r="C7" s="16" t="s">
        <v>2085</v>
      </c>
      <c r="D7" s="16" t="s">
        <v>2086</v>
      </c>
      <c r="E7" s="16">
        <v>40</v>
      </c>
      <c r="F7" s="16" t="s">
        <v>2087</v>
      </c>
      <c r="G7" s="16" t="s">
        <v>85</v>
      </c>
      <c r="H7" s="16" t="s">
        <v>2069</v>
      </c>
      <c r="I7" s="16" t="s">
        <v>130</v>
      </c>
      <c r="J7" s="16" t="s">
        <v>2088</v>
      </c>
      <c r="K7" s="194">
        <v>0.12</v>
      </c>
      <c r="L7" s="200">
        <f t="shared" si="0"/>
        <v>4.8</v>
      </c>
    </row>
    <row r="8" spans="1:12" ht="15" customHeight="1" x14ac:dyDescent="0.25">
      <c r="A8" s="16">
        <v>1343489</v>
      </c>
      <c r="B8" s="16" t="s">
        <v>2089</v>
      </c>
      <c r="C8" s="16" t="s">
        <v>2090</v>
      </c>
      <c r="D8" s="16" t="s">
        <v>2067</v>
      </c>
      <c r="E8" s="16">
        <v>2</v>
      </c>
      <c r="F8" s="16" t="s">
        <v>2068</v>
      </c>
      <c r="G8" s="16" t="s">
        <v>85</v>
      </c>
      <c r="H8" s="16" t="s">
        <v>2069</v>
      </c>
      <c r="I8" s="16" t="s">
        <v>130</v>
      </c>
      <c r="J8" s="16" t="s">
        <v>2091</v>
      </c>
      <c r="K8" s="194">
        <v>3.81818181818182E-3</v>
      </c>
      <c r="L8" s="200">
        <f t="shared" si="0"/>
        <v>7.6363636363636399E-3</v>
      </c>
    </row>
    <row r="9" spans="1:12" ht="15" customHeight="1" x14ac:dyDescent="0.25">
      <c r="A9" s="16">
        <v>1343489</v>
      </c>
      <c r="B9" s="16" t="s">
        <v>2092</v>
      </c>
      <c r="C9" s="16" t="s">
        <v>2093</v>
      </c>
      <c r="D9" s="16" t="s">
        <v>2067</v>
      </c>
      <c r="E9" s="16">
        <v>2</v>
      </c>
      <c r="F9" s="16" t="s">
        <v>2068</v>
      </c>
      <c r="G9" s="16" t="s">
        <v>85</v>
      </c>
      <c r="H9" s="16" t="s">
        <v>2069</v>
      </c>
      <c r="I9" s="16" t="s">
        <v>130</v>
      </c>
      <c r="J9" s="16" t="s">
        <v>2094</v>
      </c>
      <c r="K9" s="194">
        <v>1.5272727272727301E-2</v>
      </c>
      <c r="L9" s="200">
        <f t="shared" si="0"/>
        <v>3.0545454545454601E-2</v>
      </c>
    </row>
    <row r="10" spans="1:12" ht="15" customHeight="1" x14ac:dyDescent="0.25">
      <c r="A10" s="16">
        <v>1343489</v>
      </c>
      <c r="B10" s="16" t="s">
        <v>2095</v>
      </c>
      <c r="C10" s="16" t="s">
        <v>2096</v>
      </c>
      <c r="D10" s="16" t="s">
        <v>2067</v>
      </c>
      <c r="E10" s="16">
        <v>8</v>
      </c>
      <c r="F10" s="16" t="s">
        <v>2068</v>
      </c>
      <c r="G10" s="16" t="s">
        <v>85</v>
      </c>
      <c r="H10" s="16" t="s">
        <v>2069</v>
      </c>
      <c r="I10" s="16" t="s">
        <v>130</v>
      </c>
      <c r="J10" s="16" t="s">
        <v>2094</v>
      </c>
      <c r="K10" s="194">
        <v>1.0545454545454599E-2</v>
      </c>
      <c r="L10" s="200">
        <f t="shared" si="0"/>
        <v>8.4363636363636793E-2</v>
      </c>
    </row>
    <row r="11" spans="1:12" ht="15" customHeight="1" x14ac:dyDescent="0.25">
      <c r="A11" s="16">
        <v>1343489</v>
      </c>
      <c r="B11" s="16" t="s">
        <v>2097</v>
      </c>
      <c r="C11" s="16" t="s">
        <v>2098</v>
      </c>
      <c r="D11" s="16" t="s">
        <v>2067</v>
      </c>
      <c r="E11" s="16">
        <v>4</v>
      </c>
      <c r="F11" s="16" t="s">
        <v>2068</v>
      </c>
      <c r="G11" s="16" t="s">
        <v>85</v>
      </c>
      <c r="H11" s="16" t="s">
        <v>2069</v>
      </c>
      <c r="I11" s="16" t="s">
        <v>130</v>
      </c>
      <c r="J11" s="16" t="s">
        <v>2094</v>
      </c>
      <c r="K11" s="194">
        <v>3.0363636363636402E-2</v>
      </c>
      <c r="L11" s="200">
        <f t="shared" si="0"/>
        <v>0.12145454545454561</v>
      </c>
    </row>
    <row r="12" spans="1:12" ht="15" customHeight="1" x14ac:dyDescent="0.25">
      <c r="A12" s="16">
        <v>1343489</v>
      </c>
      <c r="B12" s="16" t="s">
        <v>2099</v>
      </c>
      <c r="C12" s="16" t="s">
        <v>2100</v>
      </c>
      <c r="D12" s="16" t="s">
        <v>2067</v>
      </c>
      <c r="E12" s="16">
        <v>4</v>
      </c>
      <c r="F12" s="16" t="s">
        <v>2068</v>
      </c>
      <c r="G12" s="16" t="s">
        <v>85</v>
      </c>
      <c r="H12" s="16" t="s">
        <v>2069</v>
      </c>
      <c r="I12" s="16" t="s">
        <v>130</v>
      </c>
      <c r="J12" s="16" t="s">
        <v>2094</v>
      </c>
      <c r="K12" s="194">
        <v>4.3272727272727303E-2</v>
      </c>
      <c r="L12" s="200">
        <f t="shared" si="0"/>
        <v>0.17309090909090921</v>
      </c>
    </row>
    <row r="13" spans="1:12" ht="15" customHeight="1" x14ac:dyDescent="0.25">
      <c r="A13" s="204">
        <v>1343489</v>
      </c>
      <c r="B13" s="16" t="s">
        <v>2101</v>
      </c>
      <c r="C13" s="204" t="s">
        <v>2102</v>
      </c>
      <c r="D13" s="204" t="s">
        <v>2067</v>
      </c>
      <c r="E13" s="204">
        <v>4</v>
      </c>
      <c r="F13" s="16" t="s">
        <v>2068</v>
      </c>
      <c r="G13" s="16" t="s">
        <v>85</v>
      </c>
      <c r="H13" s="199" t="s">
        <v>2069</v>
      </c>
      <c r="I13" s="16" t="s">
        <v>130</v>
      </c>
      <c r="J13" s="16" t="s">
        <v>2103</v>
      </c>
      <c r="K13" s="194">
        <v>20</v>
      </c>
      <c r="L13" s="200">
        <f t="shared" si="0"/>
        <v>80</v>
      </c>
    </row>
    <row r="14" spans="1:12" ht="15" customHeight="1" x14ac:dyDescent="0.25">
      <c r="A14" s="16">
        <v>1343489</v>
      </c>
      <c r="B14" s="16" t="s">
        <v>2105</v>
      </c>
      <c r="C14" s="16" t="s">
        <v>2106</v>
      </c>
      <c r="D14" s="16" t="s">
        <v>2067</v>
      </c>
      <c r="E14" s="16">
        <v>4</v>
      </c>
      <c r="F14" s="16" t="s">
        <v>2068</v>
      </c>
      <c r="G14" s="16" t="s">
        <v>85</v>
      </c>
      <c r="H14" s="16" t="s">
        <v>2069</v>
      </c>
      <c r="I14" s="16" t="s">
        <v>130</v>
      </c>
      <c r="J14" s="16" t="s">
        <v>2107</v>
      </c>
      <c r="K14" s="194">
        <v>3.5999999999999997E-2</v>
      </c>
      <c r="L14" s="200">
        <f t="shared" si="0"/>
        <v>0.14399999999999999</v>
      </c>
    </row>
    <row r="15" spans="1:12" ht="15" customHeight="1" x14ac:dyDescent="0.25">
      <c r="A15" s="16">
        <v>913348</v>
      </c>
      <c r="B15" s="16" t="s">
        <v>2108</v>
      </c>
      <c r="C15" s="16" t="s">
        <v>2109</v>
      </c>
      <c r="D15" s="16" t="s">
        <v>130</v>
      </c>
      <c r="E15" s="16">
        <v>8</v>
      </c>
      <c r="F15" s="16" t="s">
        <v>2068</v>
      </c>
      <c r="G15" s="16" t="s">
        <v>85</v>
      </c>
      <c r="H15" s="16" t="s">
        <v>2069</v>
      </c>
      <c r="I15" s="16" t="s">
        <v>130</v>
      </c>
      <c r="J15" s="16" t="s">
        <v>2110</v>
      </c>
      <c r="K15" s="194">
        <v>2.3090909090909099E-2</v>
      </c>
      <c r="L15" s="200">
        <f t="shared" si="0"/>
        <v>0.1847272727272728</v>
      </c>
    </row>
    <row r="16" spans="1:12" ht="15" customHeight="1" x14ac:dyDescent="0.25">
      <c r="A16" s="16">
        <v>913348</v>
      </c>
      <c r="B16" s="16" t="s">
        <v>2111</v>
      </c>
      <c r="C16" s="16" t="s">
        <v>2112</v>
      </c>
      <c r="D16" s="16" t="s">
        <v>130</v>
      </c>
      <c r="E16" s="16">
        <v>3</v>
      </c>
      <c r="F16" s="16" t="s">
        <v>2068</v>
      </c>
      <c r="G16" s="16" t="s">
        <v>85</v>
      </c>
      <c r="H16" s="16" t="s">
        <v>2069</v>
      </c>
      <c r="I16" s="16" t="s">
        <v>130</v>
      </c>
      <c r="J16" s="16" t="s">
        <v>2113</v>
      </c>
      <c r="K16" s="194">
        <v>1.34545454545455E-2</v>
      </c>
      <c r="L16" s="200">
        <f t="shared" si="0"/>
        <v>4.0363636363636504E-2</v>
      </c>
    </row>
    <row r="17" spans="1:12" ht="15" customHeight="1" x14ac:dyDescent="0.25">
      <c r="A17" s="203">
        <v>905890</v>
      </c>
      <c r="B17" s="203" t="s">
        <v>2108</v>
      </c>
      <c r="C17" s="203" t="s">
        <v>416</v>
      </c>
      <c r="D17" s="203" t="s">
        <v>2072</v>
      </c>
      <c r="E17" s="203">
        <v>4</v>
      </c>
      <c r="F17" s="203" t="s">
        <v>2073</v>
      </c>
      <c r="G17" s="203" t="s">
        <v>85</v>
      </c>
      <c r="H17" s="203" t="s">
        <v>2069</v>
      </c>
      <c r="I17" s="16" t="s">
        <v>130</v>
      </c>
      <c r="J17" s="16" t="s">
        <v>2114</v>
      </c>
      <c r="K17" s="194">
        <v>2.3E-2</v>
      </c>
      <c r="L17" s="200">
        <f t="shared" si="0"/>
        <v>9.1999999999999998E-2</v>
      </c>
    </row>
    <row r="18" spans="1:12" ht="15" customHeight="1" x14ac:dyDescent="0.25">
      <c r="A18" s="16">
        <v>1254954</v>
      </c>
      <c r="B18" s="16" t="s">
        <v>2115</v>
      </c>
      <c r="C18" s="16" t="s">
        <v>2116</v>
      </c>
      <c r="D18" s="16" t="s">
        <v>130</v>
      </c>
      <c r="E18" s="16">
        <v>4</v>
      </c>
      <c r="F18" s="16" t="s">
        <v>2068</v>
      </c>
      <c r="G18" s="16" t="s">
        <v>85</v>
      </c>
      <c r="H18" s="16" t="s">
        <v>2069</v>
      </c>
      <c r="I18" s="16" t="s">
        <v>130</v>
      </c>
      <c r="J18" s="16" t="s">
        <v>2094</v>
      </c>
      <c r="K18" s="194">
        <v>2.3454545454545499E-2</v>
      </c>
      <c r="L18" s="200">
        <f t="shared" si="0"/>
        <v>9.3818181818181995E-2</v>
      </c>
    </row>
    <row r="19" spans="1:12" ht="15" customHeight="1" x14ac:dyDescent="0.25">
      <c r="A19" s="16">
        <v>125815</v>
      </c>
      <c r="B19" s="16" t="s">
        <v>2117</v>
      </c>
      <c r="C19" s="16" t="s">
        <v>2118</v>
      </c>
      <c r="D19" s="16" t="s">
        <v>2119</v>
      </c>
      <c r="E19" s="16">
        <v>1</v>
      </c>
      <c r="F19" s="16" t="s">
        <v>2120</v>
      </c>
      <c r="G19" s="16" t="s">
        <v>85</v>
      </c>
      <c r="H19" s="201" t="s">
        <v>2074</v>
      </c>
      <c r="I19" s="202" t="s">
        <v>2075</v>
      </c>
      <c r="J19" s="16" t="s">
        <v>2121</v>
      </c>
      <c r="L19" s="200">
        <f t="shared" si="0"/>
        <v>0</v>
      </c>
    </row>
    <row r="20" spans="1:12" ht="15" customHeight="1" x14ac:dyDescent="0.25">
      <c r="A20" s="16">
        <v>109189</v>
      </c>
      <c r="B20" s="16" t="s">
        <v>2122</v>
      </c>
      <c r="C20" s="16" t="s">
        <v>2123</v>
      </c>
      <c r="D20" s="16" t="s">
        <v>130</v>
      </c>
      <c r="E20" s="16">
        <v>3</v>
      </c>
      <c r="F20" s="16" t="s">
        <v>2068</v>
      </c>
      <c r="G20" s="16" t="s">
        <v>85</v>
      </c>
      <c r="H20" s="16" t="s">
        <v>2069</v>
      </c>
      <c r="I20" s="16" t="s">
        <v>130</v>
      </c>
      <c r="J20" s="16" t="s">
        <v>2094</v>
      </c>
      <c r="K20" s="194">
        <v>9.8181818181818196E-3</v>
      </c>
      <c r="L20" s="200">
        <f t="shared" si="0"/>
        <v>2.9454545454545459E-2</v>
      </c>
    </row>
    <row r="21" spans="1:12" ht="15" customHeight="1" x14ac:dyDescent="0.25">
      <c r="A21" s="16">
        <v>103116</v>
      </c>
      <c r="B21" s="16" t="s">
        <v>2124</v>
      </c>
      <c r="C21" s="16" t="s">
        <v>2125</v>
      </c>
      <c r="D21" s="16" t="s">
        <v>2072</v>
      </c>
      <c r="E21" s="16">
        <v>2</v>
      </c>
      <c r="F21" s="16" t="s">
        <v>2073</v>
      </c>
      <c r="G21" s="16" t="s">
        <v>85</v>
      </c>
      <c r="H21" s="201" t="s">
        <v>2074</v>
      </c>
      <c r="I21" s="202" t="s">
        <v>2075</v>
      </c>
      <c r="J21" s="16" t="s">
        <v>2126</v>
      </c>
      <c r="L21" s="200">
        <f t="shared" si="0"/>
        <v>0</v>
      </c>
    </row>
    <row r="22" spans="1:12" ht="15" customHeight="1" x14ac:dyDescent="0.25">
      <c r="A22" s="16">
        <v>667583</v>
      </c>
      <c r="B22" s="16" t="s">
        <v>2127</v>
      </c>
      <c r="C22" s="16" t="s">
        <v>2128</v>
      </c>
      <c r="D22" s="16" t="s">
        <v>2129</v>
      </c>
      <c r="E22" s="16">
        <v>2</v>
      </c>
      <c r="F22" s="16" t="s">
        <v>2130</v>
      </c>
      <c r="G22" s="16" t="s">
        <v>85</v>
      </c>
      <c r="H22" s="201" t="s">
        <v>2074</v>
      </c>
      <c r="I22" s="202" t="s">
        <v>2075</v>
      </c>
      <c r="J22" s="16" t="s">
        <v>2131</v>
      </c>
      <c r="L22" s="200">
        <f t="shared" si="0"/>
        <v>0</v>
      </c>
    </row>
    <row r="23" spans="1:12" ht="15" customHeight="1" x14ac:dyDescent="0.25">
      <c r="A23" s="16">
        <v>667583</v>
      </c>
      <c r="B23" s="16" t="s">
        <v>2132</v>
      </c>
      <c r="C23" s="16" t="s">
        <v>2128</v>
      </c>
      <c r="D23" s="16" t="s">
        <v>2133</v>
      </c>
      <c r="E23" s="16">
        <v>2</v>
      </c>
      <c r="F23" s="16" t="s">
        <v>2134</v>
      </c>
      <c r="G23" s="16" t="s">
        <v>85</v>
      </c>
      <c r="H23" s="201" t="s">
        <v>2074</v>
      </c>
      <c r="I23" s="202" t="s">
        <v>2075</v>
      </c>
      <c r="J23" s="16" t="s">
        <v>2131</v>
      </c>
      <c r="L23" s="200">
        <f t="shared" si="0"/>
        <v>0</v>
      </c>
    </row>
    <row r="24" spans="1:12" ht="15" customHeight="1" x14ac:dyDescent="0.25">
      <c r="A24" s="16">
        <v>1055920</v>
      </c>
      <c r="B24" s="16" t="s">
        <v>2135</v>
      </c>
      <c r="C24" s="16" t="s">
        <v>2136</v>
      </c>
      <c r="D24" s="16" t="s">
        <v>2129</v>
      </c>
      <c r="E24" s="16">
        <v>2</v>
      </c>
      <c r="F24" s="16" t="s">
        <v>2130</v>
      </c>
      <c r="G24" s="16" t="s">
        <v>85</v>
      </c>
      <c r="H24" s="201" t="s">
        <v>2074</v>
      </c>
      <c r="I24" s="202" t="s">
        <v>2075</v>
      </c>
      <c r="J24" s="16" t="s">
        <v>2131</v>
      </c>
      <c r="L24" s="200">
        <f t="shared" si="0"/>
        <v>0</v>
      </c>
    </row>
    <row r="25" spans="1:12" ht="15" customHeight="1" x14ac:dyDescent="0.25">
      <c r="A25" s="16">
        <v>1055920</v>
      </c>
      <c r="B25" s="16" t="s">
        <v>2137</v>
      </c>
      <c r="C25" s="16" t="s">
        <v>2136</v>
      </c>
      <c r="D25" s="16" t="s">
        <v>2133</v>
      </c>
      <c r="E25" s="16">
        <v>2</v>
      </c>
      <c r="F25" s="16" t="s">
        <v>2134</v>
      </c>
      <c r="G25" s="16" t="s">
        <v>85</v>
      </c>
      <c r="H25" s="201" t="s">
        <v>2074</v>
      </c>
      <c r="I25" s="202" t="s">
        <v>2075</v>
      </c>
      <c r="J25" s="16" t="s">
        <v>2131</v>
      </c>
      <c r="L25" s="200">
        <f t="shared" si="0"/>
        <v>0</v>
      </c>
    </row>
    <row r="26" spans="1:12" ht="15" customHeight="1" x14ac:dyDescent="0.25">
      <c r="A26" s="16">
        <v>672365</v>
      </c>
      <c r="B26" s="16" t="s">
        <v>2127</v>
      </c>
      <c r="C26" s="16" t="s">
        <v>2128</v>
      </c>
      <c r="D26" s="16" t="s">
        <v>2129</v>
      </c>
      <c r="E26" s="16">
        <v>2</v>
      </c>
      <c r="F26" s="16" t="s">
        <v>2130</v>
      </c>
      <c r="G26" s="16" t="s">
        <v>85</v>
      </c>
      <c r="H26" s="201" t="s">
        <v>2074</v>
      </c>
      <c r="I26" s="202" t="s">
        <v>2075</v>
      </c>
      <c r="J26" s="16" t="s">
        <v>2131</v>
      </c>
      <c r="L26" s="200">
        <f t="shared" si="0"/>
        <v>0</v>
      </c>
    </row>
    <row r="27" spans="1:12" ht="15" customHeight="1" x14ac:dyDescent="0.25">
      <c r="A27" s="16">
        <v>672365</v>
      </c>
      <c r="B27" s="16" t="s">
        <v>2132</v>
      </c>
      <c r="C27" s="16" t="s">
        <v>2128</v>
      </c>
      <c r="D27" s="16" t="s">
        <v>2133</v>
      </c>
      <c r="E27" s="16">
        <v>2</v>
      </c>
      <c r="F27" s="16" t="s">
        <v>2134</v>
      </c>
      <c r="G27" s="16" t="s">
        <v>85</v>
      </c>
      <c r="H27" s="201" t="s">
        <v>2074</v>
      </c>
      <c r="I27" s="202" t="s">
        <v>2075</v>
      </c>
      <c r="J27" s="16" t="s">
        <v>2131</v>
      </c>
      <c r="L27" s="200">
        <f t="shared" si="0"/>
        <v>0</v>
      </c>
    </row>
    <row r="28" spans="1:12" ht="15" customHeight="1" x14ac:dyDescent="0.25">
      <c r="A28" s="16">
        <v>238323</v>
      </c>
      <c r="B28" s="16" t="s">
        <v>2138</v>
      </c>
      <c r="C28" s="16" t="s">
        <v>2139</v>
      </c>
      <c r="D28" s="16" t="s">
        <v>2140</v>
      </c>
      <c r="E28" s="16">
        <v>1</v>
      </c>
      <c r="F28" s="16" t="s">
        <v>2141</v>
      </c>
      <c r="G28" s="16" t="s">
        <v>85</v>
      </c>
      <c r="H28" s="201" t="s">
        <v>2074</v>
      </c>
      <c r="I28" s="202" t="s">
        <v>2075</v>
      </c>
      <c r="J28" s="16" t="s">
        <v>2142</v>
      </c>
      <c r="L28" s="200">
        <f t="shared" si="0"/>
        <v>0</v>
      </c>
    </row>
    <row r="29" spans="1:12" ht="15" customHeight="1" x14ac:dyDescent="0.25">
      <c r="A29" s="16">
        <v>554887</v>
      </c>
      <c r="B29" s="16" t="s">
        <v>2127</v>
      </c>
      <c r="C29" s="16" t="s">
        <v>2128</v>
      </c>
      <c r="D29" s="16" t="s">
        <v>2129</v>
      </c>
      <c r="E29" s="16">
        <v>2</v>
      </c>
      <c r="F29" s="16" t="s">
        <v>2130</v>
      </c>
      <c r="G29" s="16" t="s">
        <v>85</v>
      </c>
      <c r="H29" s="201" t="s">
        <v>2074</v>
      </c>
      <c r="I29" s="202" t="s">
        <v>2075</v>
      </c>
      <c r="J29" s="16" t="s">
        <v>2131</v>
      </c>
      <c r="L29" s="200">
        <f t="shared" si="0"/>
        <v>0</v>
      </c>
    </row>
    <row r="30" spans="1:12" ht="15" customHeight="1" x14ac:dyDescent="0.25">
      <c r="A30" s="16">
        <v>554887</v>
      </c>
      <c r="B30" s="16" t="s">
        <v>2132</v>
      </c>
      <c r="C30" s="16" t="s">
        <v>2128</v>
      </c>
      <c r="D30" s="16" t="s">
        <v>2133</v>
      </c>
      <c r="E30" s="16">
        <v>2</v>
      </c>
      <c r="F30" s="16" t="s">
        <v>2134</v>
      </c>
      <c r="G30" s="16" t="s">
        <v>85</v>
      </c>
      <c r="H30" s="201" t="s">
        <v>2074</v>
      </c>
      <c r="I30" s="202" t="s">
        <v>2075</v>
      </c>
      <c r="J30" s="16" t="s">
        <v>2131</v>
      </c>
      <c r="L30" s="200">
        <f t="shared" si="0"/>
        <v>0</v>
      </c>
    </row>
    <row r="31" spans="1:12" ht="15" customHeight="1" x14ac:dyDescent="0.25">
      <c r="A31" s="16">
        <v>602345</v>
      </c>
      <c r="B31" s="16" t="s">
        <v>2127</v>
      </c>
      <c r="C31" s="16" t="s">
        <v>2128</v>
      </c>
      <c r="D31" s="16" t="s">
        <v>2129</v>
      </c>
      <c r="E31" s="16">
        <v>2</v>
      </c>
      <c r="F31" s="16" t="s">
        <v>2130</v>
      </c>
      <c r="G31" s="16" t="s">
        <v>85</v>
      </c>
      <c r="H31" s="201" t="s">
        <v>2074</v>
      </c>
      <c r="I31" s="202" t="s">
        <v>2075</v>
      </c>
      <c r="J31" s="16" t="s">
        <v>2131</v>
      </c>
      <c r="L31" s="200">
        <f t="shared" si="0"/>
        <v>0</v>
      </c>
    </row>
    <row r="32" spans="1:12" ht="15" customHeight="1" x14ac:dyDescent="0.25">
      <c r="A32" s="16">
        <v>602345</v>
      </c>
      <c r="B32" s="16" t="s">
        <v>2132</v>
      </c>
      <c r="C32" s="16" t="s">
        <v>2128</v>
      </c>
      <c r="D32" s="16" t="s">
        <v>2133</v>
      </c>
      <c r="E32" s="16">
        <v>2</v>
      </c>
      <c r="F32" s="16" t="s">
        <v>2134</v>
      </c>
      <c r="G32" s="16" t="s">
        <v>85</v>
      </c>
      <c r="H32" s="201" t="s">
        <v>2074</v>
      </c>
      <c r="I32" s="202" t="s">
        <v>2075</v>
      </c>
      <c r="J32" s="16" t="s">
        <v>2131</v>
      </c>
      <c r="L32" s="200">
        <f t="shared" si="0"/>
        <v>0</v>
      </c>
    </row>
    <row r="33" spans="1:12" ht="15" customHeight="1" x14ac:dyDescent="0.25">
      <c r="A33" s="16">
        <v>404630</v>
      </c>
      <c r="B33" s="16" t="s">
        <v>2143</v>
      </c>
      <c r="C33" s="16" t="s">
        <v>2144</v>
      </c>
      <c r="D33" s="16" t="s">
        <v>2145</v>
      </c>
      <c r="E33" s="16">
        <v>2</v>
      </c>
      <c r="F33" s="16" t="s">
        <v>2087</v>
      </c>
      <c r="G33" s="16" t="s">
        <v>85</v>
      </c>
      <c r="H33" s="201" t="s">
        <v>2074</v>
      </c>
      <c r="I33" s="202" t="s">
        <v>2075</v>
      </c>
      <c r="J33" s="16" t="s">
        <v>2146</v>
      </c>
      <c r="L33" s="200">
        <f t="shared" si="0"/>
        <v>0</v>
      </c>
    </row>
    <row r="34" spans="1:12" ht="15" customHeight="1" x14ac:dyDescent="0.25">
      <c r="A34" s="16">
        <v>694385</v>
      </c>
      <c r="B34" s="16" t="s">
        <v>2143</v>
      </c>
      <c r="C34" s="16" t="s">
        <v>2144</v>
      </c>
      <c r="D34" s="16" t="s">
        <v>2145</v>
      </c>
      <c r="E34" s="16">
        <v>2</v>
      </c>
      <c r="F34" s="16" t="s">
        <v>2087</v>
      </c>
      <c r="G34" s="16" t="s">
        <v>85</v>
      </c>
      <c r="H34" s="201" t="s">
        <v>2074</v>
      </c>
      <c r="I34" s="202" t="s">
        <v>2075</v>
      </c>
      <c r="J34" s="16" t="s">
        <v>2146</v>
      </c>
      <c r="L34" s="200">
        <f t="shared" ref="L34:L65" si="1">IF(ISNUMBER(K34),E34*K34,0)</f>
        <v>0</v>
      </c>
    </row>
    <row r="35" spans="1:12" ht="15" customHeight="1" x14ac:dyDescent="0.25">
      <c r="A35" s="16">
        <v>1298479</v>
      </c>
      <c r="B35" s="16" t="s">
        <v>2108</v>
      </c>
      <c r="C35" s="16" t="s">
        <v>2147</v>
      </c>
      <c r="D35" s="16" t="s">
        <v>130</v>
      </c>
      <c r="E35" s="16">
        <v>1</v>
      </c>
      <c r="F35" s="16" t="s">
        <v>2068</v>
      </c>
      <c r="G35" s="16" t="s">
        <v>85</v>
      </c>
      <c r="H35" s="16" t="s">
        <v>2069</v>
      </c>
      <c r="I35" s="16" t="s">
        <v>130</v>
      </c>
      <c r="J35" s="16" t="s">
        <v>2110</v>
      </c>
      <c r="K35" s="194">
        <v>2.3090909090909099E-2</v>
      </c>
      <c r="L35" s="200">
        <f t="shared" si="1"/>
        <v>2.3090909090909099E-2</v>
      </c>
    </row>
    <row r="36" spans="1:12" ht="15" customHeight="1" x14ac:dyDescent="0.25">
      <c r="A36" s="16">
        <v>1298479</v>
      </c>
      <c r="B36" s="16" t="s">
        <v>2148</v>
      </c>
      <c r="C36" s="16" t="s">
        <v>2149</v>
      </c>
      <c r="D36" s="16" t="s">
        <v>130</v>
      </c>
      <c r="E36" s="16">
        <v>2</v>
      </c>
      <c r="F36" s="16" t="s">
        <v>2068</v>
      </c>
      <c r="G36" s="16" t="s">
        <v>85</v>
      </c>
      <c r="H36" s="16" t="s">
        <v>2069</v>
      </c>
      <c r="I36" s="16" t="s">
        <v>130</v>
      </c>
      <c r="J36" s="16" t="s">
        <v>2094</v>
      </c>
      <c r="K36" s="194">
        <v>3.5636363636363598E-2</v>
      </c>
      <c r="L36" s="200">
        <f t="shared" si="1"/>
        <v>7.1272727272727196E-2</v>
      </c>
    </row>
    <row r="37" spans="1:12" ht="15" customHeight="1" x14ac:dyDescent="0.25">
      <c r="A37" s="16">
        <v>110067</v>
      </c>
      <c r="B37" s="16" t="s">
        <v>2150</v>
      </c>
      <c r="C37" s="16" t="s">
        <v>416</v>
      </c>
      <c r="D37" s="16" t="s">
        <v>2151</v>
      </c>
      <c r="E37" s="16">
        <v>4</v>
      </c>
      <c r="F37" s="16" t="s">
        <v>2152</v>
      </c>
      <c r="G37" s="16" t="s">
        <v>85</v>
      </c>
      <c r="H37" s="201" t="s">
        <v>2074</v>
      </c>
      <c r="I37" s="202" t="s">
        <v>2075</v>
      </c>
      <c r="J37" s="16" t="s">
        <v>2153</v>
      </c>
      <c r="L37" s="200">
        <f t="shared" si="1"/>
        <v>0</v>
      </c>
    </row>
    <row r="38" spans="1:12" ht="15" customHeight="1" x14ac:dyDescent="0.25">
      <c r="A38" s="204">
        <v>110067</v>
      </c>
      <c r="B38" s="204" t="s">
        <v>2089</v>
      </c>
      <c r="C38" s="204" t="s">
        <v>416</v>
      </c>
      <c r="D38" s="204" t="s">
        <v>2154</v>
      </c>
      <c r="E38" s="204">
        <v>4</v>
      </c>
      <c r="F38" s="204" t="s">
        <v>2152</v>
      </c>
      <c r="G38" s="204" t="s">
        <v>85</v>
      </c>
      <c r="H38" s="204" t="s">
        <v>2069</v>
      </c>
      <c r="I38" s="16" t="s">
        <v>130</v>
      </c>
      <c r="J38" s="16" t="s">
        <v>2155</v>
      </c>
      <c r="K38" s="194" t="s">
        <v>2104</v>
      </c>
      <c r="L38" s="200">
        <f t="shared" si="1"/>
        <v>0</v>
      </c>
    </row>
    <row r="39" spans="1:12" ht="15" customHeight="1" x14ac:dyDescent="0.25">
      <c r="A39" s="16">
        <v>113467</v>
      </c>
      <c r="B39" s="16" t="s">
        <v>2122</v>
      </c>
      <c r="C39" s="16" t="s">
        <v>2123</v>
      </c>
      <c r="D39" s="16" t="s">
        <v>130</v>
      </c>
      <c r="E39" s="16">
        <v>4</v>
      </c>
      <c r="F39" s="16" t="s">
        <v>2068</v>
      </c>
      <c r="G39" s="16" t="s">
        <v>85</v>
      </c>
      <c r="H39" s="16" t="s">
        <v>2069</v>
      </c>
      <c r="I39" s="16" t="s">
        <v>130</v>
      </c>
      <c r="J39" s="16" t="s">
        <v>2094</v>
      </c>
      <c r="K39" s="194">
        <v>9.8181818181818196E-3</v>
      </c>
      <c r="L39" s="200">
        <f t="shared" si="1"/>
        <v>3.9272727272727279E-2</v>
      </c>
    </row>
    <row r="40" spans="1:12" ht="15" customHeight="1" x14ac:dyDescent="0.25">
      <c r="A40" s="16">
        <v>113467</v>
      </c>
      <c r="B40" s="16" t="s">
        <v>2115</v>
      </c>
      <c r="C40" s="16" t="s">
        <v>2116</v>
      </c>
      <c r="D40" s="16" t="s">
        <v>130</v>
      </c>
      <c r="E40" s="16">
        <v>7</v>
      </c>
      <c r="F40" s="16" t="s">
        <v>2068</v>
      </c>
      <c r="G40" s="16" t="s">
        <v>85</v>
      </c>
      <c r="H40" s="16" t="s">
        <v>2069</v>
      </c>
      <c r="I40" s="16" t="s">
        <v>130</v>
      </c>
      <c r="J40" s="16" t="s">
        <v>2094</v>
      </c>
      <c r="K40" s="194">
        <v>2.3454545454545499E-2</v>
      </c>
      <c r="L40" s="200">
        <f t="shared" si="1"/>
        <v>0.16418181818181848</v>
      </c>
    </row>
    <row r="41" spans="1:12" ht="15" customHeight="1" x14ac:dyDescent="0.25">
      <c r="A41" s="16">
        <v>235832</v>
      </c>
      <c r="B41" s="16" t="s">
        <v>2156</v>
      </c>
      <c r="C41" s="16" t="s">
        <v>2157</v>
      </c>
      <c r="D41" s="16" t="s">
        <v>130</v>
      </c>
      <c r="E41" s="16">
        <v>1</v>
      </c>
      <c r="F41" s="16" t="s">
        <v>2158</v>
      </c>
      <c r="G41" s="16" t="s">
        <v>1520</v>
      </c>
      <c r="H41" s="201" t="s">
        <v>2074</v>
      </c>
      <c r="I41" s="202" t="s">
        <v>2075</v>
      </c>
      <c r="J41" s="16" t="s">
        <v>2159</v>
      </c>
      <c r="L41" s="200">
        <f t="shared" si="1"/>
        <v>0</v>
      </c>
    </row>
    <row r="42" spans="1:12" ht="15" customHeight="1" x14ac:dyDescent="0.25">
      <c r="A42" s="16">
        <v>713969</v>
      </c>
      <c r="B42" s="16" t="s">
        <v>2160</v>
      </c>
      <c r="C42" s="16" t="s">
        <v>2161</v>
      </c>
      <c r="D42" s="16" t="s">
        <v>130</v>
      </c>
      <c r="E42" s="16">
        <v>1</v>
      </c>
      <c r="F42" s="16" t="s">
        <v>2162</v>
      </c>
      <c r="G42" s="16" t="s">
        <v>1520</v>
      </c>
      <c r="H42" s="201" t="s">
        <v>2074</v>
      </c>
      <c r="I42" s="202" t="s">
        <v>2075</v>
      </c>
      <c r="J42" s="16" t="s">
        <v>2163</v>
      </c>
      <c r="L42" s="200">
        <f t="shared" si="1"/>
        <v>0</v>
      </c>
    </row>
    <row r="43" spans="1:12" ht="15" customHeight="1" x14ac:dyDescent="0.25">
      <c r="A43" s="16">
        <v>713969</v>
      </c>
      <c r="B43" s="16" t="s">
        <v>2164</v>
      </c>
      <c r="C43" s="16" t="s">
        <v>2165</v>
      </c>
      <c r="D43" s="16" t="s">
        <v>130</v>
      </c>
      <c r="E43" s="16">
        <v>1</v>
      </c>
      <c r="F43" s="16" t="s">
        <v>2162</v>
      </c>
      <c r="G43" s="16" t="s">
        <v>1520</v>
      </c>
      <c r="H43" s="201" t="s">
        <v>2074</v>
      </c>
      <c r="I43" s="202" t="s">
        <v>2075</v>
      </c>
      <c r="J43" s="16" t="s">
        <v>2166</v>
      </c>
      <c r="L43" s="200">
        <f t="shared" si="1"/>
        <v>0</v>
      </c>
    </row>
    <row r="44" spans="1:12" ht="15" customHeight="1" x14ac:dyDescent="0.25">
      <c r="A44" s="16">
        <v>713969</v>
      </c>
      <c r="B44" s="16" t="s">
        <v>2167</v>
      </c>
      <c r="C44" s="16" t="s">
        <v>2168</v>
      </c>
      <c r="D44" s="16" t="s">
        <v>2067</v>
      </c>
      <c r="E44" s="16">
        <v>20</v>
      </c>
      <c r="F44" s="16" t="s">
        <v>2152</v>
      </c>
      <c r="G44" s="16" t="s">
        <v>1520</v>
      </c>
      <c r="H44" s="16" t="s">
        <v>2069</v>
      </c>
      <c r="I44" s="16" t="s">
        <v>130</v>
      </c>
      <c r="J44" s="16" t="s">
        <v>2094</v>
      </c>
      <c r="K44" s="194">
        <v>1.9818181818181801E-2</v>
      </c>
      <c r="L44" s="200">
        <f t="shared" si="1"/>
        <v>0.39636363636363603</v>
      </c>
    </row>
    <row r="45" spans="1:12" ht="15" customHeight="1" x14ac:dyDescent="0.25">
      <c r="A45" s="16">
        <v>713969</v>
      </c>
      <c r="B45" s="16" t="s">
        <v>2169</v>
      </c>
      <c r="C45" s="16" t="s">
        <v>2170</v>
      </c>
      <c r="D45" s="16" t="s">
        <v>2067</v>
      </c>
      <c r="E45" s="16">
        <v>10</v>
      </c>
      <c r="F45" s="16" t="s">
        <v>2152</v>
      </c>
      <c r="G45" s="16" t="s">
        <v>1520</v>
      </c>
      <c r="H45" s="16" t="s">
        <v>2069</v>
      </c>
      <c r="I45" s="16" t="s">
        <v>130</v>
      </c>
      <c r="J45" s="16" t="s">
        <v>2094</v>
      </c>
      <c r="K45" s="194">
        <v>7.9636363636363602E-2</v>
      </c>
      <c r="L45" s="200">
        <f t="shared" si="1"/>
        <v>0.79636363636363605</v>
      </c>
    </row>
    <row r="46" spans="1:12" ht="15" customHeight="1" x14ac:dyDescent="0.25">
      <c r="A46" s="16">
        <v>713969</v>
      </c>
      <c r="B46" s="16" t="s">
        <v>2171</v>
      </c>
      <c r="C46" s="16" t="s">
        <v>2172</v>
      </c>
      <c r="D46" s="16" t="s">
        <v>2067</v>
      </c>
      <c r="E46" s="16">
        <v>6</v>
      </c>
      <c r="F46" s="16" t="s">
        <v>2152</v>
      </c>
      <c r="G46" s="16" t="s">
        <v>1520</v>
      </c>
      <c r="H46" s="16" t="s">
        <v>2069</v>
      </c>
      <c r="I46" s="16" t="s">
        <v>130</v>
      </c>
      <c r="J46" s="16" t="s">
        <v>2094</v>
      </c>
      <c r="K46" s="194">
        <v>0.14309090909090899</v>
      </c>
      <c r="L46" s="200">
        <f t="shared" si="1"/>
        <v>0.85854545454545395</v>
      </c>
    </row>
    <row r="47" spans="1:12" ht="15" customHeight="1" x14ac:dyDescent="0.25">
      <c r="A47" s="16">
        <v>713969</v>
      </c>
      <c r="B47" s="16" t="s">
        <v>2173</v>
      </c>
      <c r="C47" s="16" t="s">
        <v>2174</v>
      </c>
      <c r="D47" s="16" t="s">
        <v>2067</v>
      </c>
      <c r="E47" s="16">
        <v>4</v>
      </c>
      <c r="F47" s="16" t="s">
        <v>2152</v>
      </c>
      <c r="G47" s="16" t="s">
        <v>1520</v>
      </c>
      <c r="H47" s="16" t="s">
        <v>2069</v>
      </c>
      <c r="I47" s="16" t="s">
        <v>130</v>
      </c>
      <c r="J47" s="16" t="s">
        <v>2094</v>
      </c>
      <c r="K47" s="194">
        <v>0.177454545454545</v>
      </c>
      <c r="L47" s="200">
        <f t="shared" si="1"/>
        <v>0.70981818181818002</v>
      </c>
    </row>
    <row r="48" spans="1:12" ht="15" customHeight="1" x14ac:dyDescent="0.25">
      <c r="A48" s="16">
        <v>543377</v>
      </c>
      <c r="B48" s="16" t="s">
        <v>974</v>
      </c>
      <c r="C48" s="16" t="s">
        <v>975</v>
      </c>
      <c r="D48" s="16" t="s">
        <v>130</v>
      </c>
      <c r="E48" s="16">
        <v>1</v>
      </c>
      <c r="F48" s="16" t="s">
        <v>2158</v>
      </c>
      <c r="G48" s="16" t="s">
        <v>1520</v>
      </c>
      <c r="H48" s="16" t="s">
        <v>2069</v>
      </c>
      <c r="I48" s="16" t="s">
        <v>130</v>
      </c>
      <c r="J48" s="16" t="s">
        <v>2175</v>
      </c>
      <c r="K48" s="194">
        <v>4.47</v>
      </c>
      <c r="L48" s="200">
        <f t="shared" si="1"/>
        <v>4.47</v>
      </c>
    </row>
    <row r="49" spans="1:12" ht="15" customHeight="1" x14ac:dyDescent="0.25">
      <c r="A49" s="16">
        <v>543377</v>
      </c>
      <c r="B49" s="16" t="s">
        <v>976</v>
      </c>
      <c r="C49" s="16" t="s">
        <v>977</v>
      </c>
      <c r="D49" s="16" t="s">
        <v>130</v>
      </c>
      <c r="E49" s="16">
        <v>1</v>
      </c>
      <c r="F49" s="16" t="s">
        <v>2158</v>
      </c>
      <c r="G49" s="16" t="s">
        <v>1520</v>
      </c>
      <c r="H49" s="16" t="s">
        <v>2069</v>
      </c>
      <c r="I49" s="16" t="s">
        <v>130</v>
      </c>
      <c r="J49" s="16" t="s">
        <v>2175</v>
      </c>
      <c r="K49" s="194">
        <v>2.72</v>
      </c>
      <c r="L49" s="200">
        <f t="shared" si="1"/>
        <v>2.72</v>
      </c>
    </row>
    <row r="50" spans="1:12" ht="15" customHeight="1" x14ac:dyDescent="0.25">
      <c r="A50" s="16">
        <v>543533</v>
      </c>
      <c r="B50" s="16" t="s">
        <v>2176</v>
      </c>
      <c r="C50" s="16" t="s">
        <v>2177</v>
      </c>
      <c r="D50" s="16" t="s">
        <v>130</v>
      </c>
      <c r="E50" s="16">
        <v>1</v>
      </c>
      <c r="F50" s="16" t="s">
        <v>2158</v>
      </c>
      <c r="G50" s="16" t="s">
        <v>1520</v>
      </c>
      <c r="H50" s="199" t="s">
        <v>2069</v>
      </c>
      <c r="I50" s="16" t="s">
        <v>130</v>
      </c>
      <c r="J50" s="16" t="s">
        <v>2178</v>
      </c>
      <c r="K50" s="194">
        <v>3.12</v>
      </c>
      <c r="L50" s="200">
        <f t="shared" si="1"/>
        <v>3.12</v>
      </c>
    </row>
    <row r="51" spans="1:12" ht="15" customHeight="1" x14ac:dyDescent="0.25">
      <c r="A51" s="16">
        <v>543659</v>
      </c>
      <c r="B51" s="16" t="s">
        <v>2176</v>
      </c>
      <c r="C51" s="16" t="s">
        <v>2177</v>
      </c>
      <c r="D51" s="16" t="s">
        <v>130</v>
      </c>
      <c r="E51" s="16">
        <v>1</v>
      </c>
      <c r="F51" s="16" t="s">
        <v>2158</v>
      </c>
      <c r="G51" s="16" t="s">
        <v>1520</v>
      </c>
      <c r="H51" s="199" t="s">
        <v>2069</v>
      </c>
      <c r="I51" s="16" t="s">
        <v>130</v>
      </c>
      <c r="J51" s="16" t="s">
        <v>2178</v>
      </c>
      <c r="K51" s="194">
        <v>3.12</v>
      </c>
      <c r="L51" s="200">
        <f t="shared" si="1"/>
        <v>3.12</v>
      </c>
    </row>
    <row r="52" spans="1:12" ht="15" customHeight="1" x14ac:dyDescent="0.25">
      <c r="A52" s="16">
        <v>120268</v>
      </c>
      <c r="B52" s="16" t="s">
        <v>2179</v>
      </c>
      <c r="C52" s="16" t="s">
        <v>2180</v>
      </c>
      <c r="D52" s="16" t="s">
        <v>130</v>
      </c>
      <c r="E52" s="16">
        <v>1</v>
      </c>
      <c r="F52" s="16" t="s">
        <v>2158</v>
      </c>
      <c r="G52" s="16" t="s">
        <v>1520</v>
      </c>
      <c r="H52" s="201" t="s">
        <v>2074</v>
      </c>
      <c r="I52" s="202" t="s">
        <v>2075</v>
      </c>
      <c r="J52" s="16" t="s">
        <v>2181</v>
      </c>
      <c r="L52" s="200">
        <f t="shared" si="1"/>
        <v>0</v>
      </c>
    </row>
    <row r="53" spans="1:12" ht="15" customHeight="1" x14ac:dyDescent="0.25">
      <c r="A53" s="16">
        <v>120281</v>
      </c>
      <c r="B53" s="16" t="s">
        <v>2179</v>
      </c>
      <c r="C53" s="16" t="s">
        <v>2180</v>
      </c>
      <c r="D53" s="16" t="s">
        <v>130</v>
      </c>
      <c r="E53" s="16">
        <v>1</v>
      </c>
      <c r="F53" s="16" t="s">
        <v>2158</v>
      </c>
      <c r="G53" s="16" t="s">
        <v>1520</v>
      </c>
      <c r="H53" s="201" t="s">
        <v>2074</v>
      </c>
      <c r="I53" s="202" t="s">
        <v>2075</v>
      </c>
      <c r="J53" s="16" t="s">
        <v>2181</v>
      </c>
      <c r="L53" s="200">
        <f t="shared" si="1"/>
        <v>0</v>
      </c>
    </row>
    <row r="54" spans="1:12" ht="15" customHeight="1" x14ac:dyDescent="0.25">
      <c r="A54" s="203">
        <v>149762</v>
      </c>
      <c r="B54" s="203" t="s">
        <v>629</v>
      </c>
      <c r="C54" s="203" t="s">
        <v>2182</v>
      </c>
      <c r="D54" s="203" t="s">
        <v>130</v>
      </c>
      <c r="E54" s="203">
        <v>2</v>
      </c>
      <c r="F54" s="203" t="s">
        <v>2158</v>
      </c>
      <c r="G54" s="203" t="s">
        <v>1520</v>
      </c>
      <c r="H54" s="203" t="s">
        <v>2074</v>
      </c>
      <c r="I54" s="199" t="s">
        <v>2183</v>
      </c>
      <c r="J54" s="16" t="s">
        <v>2184</v>
      </c>
      <c r="K54" s="194" t="s">
        <v>2083</v>
      </c>
      <c r="L54" s="205">
        <f t="shared" si="1"/>
        <v>0</v>
      </c>
    </row>
    <row r="55" spans="1:12" ht="15" customHeight="1" x14ac:dyDescent="0.25">
      <c r="A55" s="16">
        <v>114243</v>
      </c>
      <c r="B55" s="16" t="s">
        <v>2185</v>
      </c>
      <c r="C55" s="16" t="s">
        <v>2186</v>
      </c>
      <c r="D55" s="16" t="s">
        <v>130</v>
      </c>
      <c r="E55" s="16">
        <v>1</v>
      </c>
      <c r="F55" s="16" t="s">
        <v>2158</v>
      </c>
      <c r="G55" s="16" t="s">
        <v>1520</v>
      </c>
      <c r="H55" s="201" t="s">
        <v>2074</v>
      </c>
      <c r="I55" s="202" t="s">
        <v>2075</v>
      </c>
      <c r="J55" s="16" t="s">
        <v>2159</v>
      </c>
      <c r="L55" s="200">
        <f t="shared" si="1"/>
        <v>0</v>
      </c>
    </row>
    <row r="56" spans="1:12" ht="15" customHeight="1" x14ac:dyDescent="0.25">
      <c r="A56" s="16">
        <v>433814</v>
      </c>
      <c r="B56" s="16" t="s">
        <v>2187</v>
      </c>
      <c r="C56" s="16" t="s">
        <v>2188</v>
      </c>
      <c r="D56" s="16" t="s">
        <v>2189</v>
      </c>
      <c r="E56" s="16">
        <v>1</v>
      </c>
      <c r="F56" s="16" t="s">
        <v>2190</v>
      </c>
      <c r="G56" s="16" t="s">
        <v>1520</v>
      </c>
      <c r="H56" s="16" t="s">
        <v>2069</v>
      </c>
      <c r="I56" s="16" t="s">
        <v>130</v>
      </c>
      <c r="J56" s="16" t="s">
        <v>2178</v>
      </c>
      <c r="K56" s="194">
        <v>2.76</v>
      </c>
      <c r="L56" s="200">
        <f t="shared" si="1"/>
        <v>2.76</v>
      </c>
    </row>
    <row r="57" spans="1:12" ht="15" customHeight="1" x14ac:dyDescent="0.25">
      <c r="A57" s="16">
        <v>396655</v>
      </c>
      <c r="B57" s="16" t="s">
        <v>2191</v>
      </c>
      <c r="C57" s="16" t="s">
        <v>2192</v>
      </c>
      <c r="D57" s="16" t="s">
        <v>130</v>
      </c>
      <c r="E57" s="16">
        <v>1</v>
      </c>
      <c r="F57" s="16" t="s">
        <v>2158</v>
      </c>
      <c r="G57" s="16" t="s">
        <v>1520</v>
      </c>
      <c r="H57" s="201" t="s">
        <v>2074</v>
      </c>
      <c r="I57" s="202" t="s">
        <v>2075</v>
      </c>
      <c r="J57" s="16" t="s">
        <v>2193</v>
      </c>
      <c r="L57" s="200">
        <f t="shared" si="1"/>
        <v>0</v>
      </c>
    </row>
    <row r="58" spans="1:12" ht="15" customHeight="1" x14ac:dyDescent="0.25">
      <c r="A58" s="16">
        <v>235228</v>
      </c>
      <c r="B58" s="16" t="s">
        <v>893</v>
      </c>
      <c r="C58" s="16" t="s">
        <v>894</v>
      </c>
      <c r="D58" s="16" t="s">
        <v>2194</v>
      </c>
      <c r="E58" s="16">
        <v>1</v>
      </c>
      <c r="F58" s="16" t="s">
        <v>2190</v>
      </c>
      <c r="G58" s="16" t="s">
        <v>1520</v>
      </c>
      <c r="H58" s="16" t="s">
        <v>2069</v>
      </c>
      <c r="I58" s="16" t="s">
        <v>130</v>
      </c>
      <c r="J58" s="16" t="s">
        <v>2195</v>
      </c>
      <c r="K58" s="194">
        <v>5.83</v>
      </c>
      <c r="L58" s="200">
        <f t="shared" si="1"/>
        <v>5.83</v>
      </c>
    </row>
    <row r="59" spans="1:12" ht="15" customHeight="1" x14ac:dyDescent="0.25">
      <c r="A59" s="16">
        <v>235228</v>
      </c>
      <c r="B59" s="16" t="s">
        <v>2196</v>
      </c>
      <c r="C59" s="16" t="s">
        <v>2197</v>
      </c>
      <c r="D59" s="16" t="s">
        <v>130</v>
      </c>
      <c r="E59" s="16">
        <v>1</v>
      </c>
      <c r="F59" s="16" t="s">
        <v>2158</v>
      </c>
      <c r="G59" s="16" t="s">
        <v>1520</v>
      </c>
      <c r="H59" s="201" t="s">
        <v>2074</v>
      </c>
      <c r="I59" s="202" t="s">
        <v>2075</v>
      </c>
      <c r="J59" s="16" t="s">
        <v>2198</v>
      </c>
      <c r="L59" s="200">
        <f t="shared" si="1"/>
        <v>0</v>
      </c>
    </row>
    <row r="60" spans="1:12" ht="15" customHeight="1" x14ac:dyDescent="0.25">
      <c r="A60" s="16">
        <v>1204097</v>
      </c>
      <c r="B60" s="16" t="s">
        <v>2108</v>
      </c>
      <c r="C60" s="16" t="s">
        <v>2147</v>
      </c>
      <c r="D60" s="16" t="s">
        <v>130</v>
      </c>
      <c r="E60" s="16">
        <v>4</v>
      </c>
      <c r="F60" s="16" t="s">
        <v>2158</v>
      </c>
      <c r="G60" s="16" t="s">
        <v>1520</v>
      </c>
      <c r="H60" s="16" t="s">
        <v>2069</v>
      </c>
      <c r="I60" s="16" t="s">
        <v>130</v>
      </c>
      <c r="J60" s="16" t="s">
        <v>2110</v>
      </c>
      <c r="K60" s="194">
        <v>2.3090909090909099E-2</v>
      </c>
      <c r="L60" s="200">
        <f t="shared" si="1"/>
        <v>9.2363636363636398E-2</v>
      </c>
    </row>
    <row r="61" spans="1:12" ht="15" customHeight="1" x14ac:dyDescent="0.25">
      <c r="A61" s="16">
        <v>1180538</v>
      </c>
      <c r="B61" s="16" t="s">
        <v>799</v>
      </c>
      <c r="C61" s="16" t="s">
        <v>774</v>
      </c>
      <c r="D61" s="16" t="s">
        <v>2067</v>
      </c>
      <c r="E61" s="16">
        <v>1</v>
      </c>
      <c r="F61" s="16" t="s">
        <v>2162</v>
      </c>
      <c r="G61" s="16" t="s">
        <v>1520</v>
      </c>
      <c r="H61" s="201" t="s">
        <v>2074</v>
      </c>
      <c r="I61" s="202" t="s">
        <v>2075</v>
      </c>
      <c r="J61" s="16" t="s">
        <v>2199</v>
      </c>
      <c r="L61" s="200">
        <f t="shared" si="1"/>
        <v>0</v>
      </c>
    </row>
    <row r="62" spans="1:12" ht="15" customHeight="1" x14ac:dyDescent="0.25">
      <c r="A62" s="16">
        <v>1180538</v>
      </c>
      <c r="B62" s="16" t="s">
        <v>800</v>
      </c>
      <c r="C62" s="16" t="s">
        <v>774</v>
      </c>
      <c r="D62" s="16" t="s">
        <v>2067</v>
      </c>
      <c r="E62" s="16">
        <v>1</v>
      </c>
      <c r="F62" s="16" t="s">
        <v>2162</v>
      </c>
      <c r="G62" s="16" t="s">
        <v>1520</v>
      </c>
      <c r="H62" s="201" t="s">
        <v>2074</v>
      </c>
      <c r="I62" s="202" t="s">
        <v>2075</v>
      </c>
      <c r="J62" s="16" t="s">
        <v>2199</v>
      </c>
      <c r="L62" s="200">
        <f t="shared" si="1"/>
        <v>0</v>
      </c>
    </row>
    <row r="63" spans="1:12" ht="15" customHeight="1" x14ac:dyDescent="0.25">
      <c r="A63" s="16">
        <v>108754</v>
      </c>
      <c r="B63" s="16" t="s">
        <v>2200</v>
      </c>
      <c r="C63" s="16" t="s">
        <v>2201</v>
      </c>
      <c r="D63" s="16" t="s">
        <v>130</v>
      </c>
      <c r="E63" s="16">
        <v>2</v>
      </c>
      <c r="F63" s="16" t="s">
        <v>2158</v>
      </c>
      <c r="G63" s="16" t="s">
        <v>1520</v>
      </c>
      <c r="H63" s="16" t="s">
        <v>2069</v>
      </c>
      <c r="I63" s="16" t="s">
        <v>130</v>
      </c>
      <c r="J63" s="16" t="s">
        <v>2175</v>
      </c>
      <c r="K63" s="194">
        <v>0.96</v>
      </c>
      <c r="L63" s="200">
        <f t="shared" si="1"/>
        <v>1.92</v>
      </c>
    </row>
    <row r="64" spans="1:12" ht="15" customHeight="1" x14ac:dyDescent="0.25">
      <c r="A64" s="16">
        <v>110434</v>
      </c>
      <c r="B64" s="16" t="s">
        <v>2202</v>
      </c>
      <c r="C64" s="16" t="s">
        <v>2203</v>
      </c>
      <c r="D64" s="16" t="s">
        <v>2204</v>
      </c>
      <c r="E64" s="16">
        <v>1</v>
      </c>
      <c r="F64" s="16" t="s">
        <v>2190</v>
      </c>
      <c r="G64" s="16" t="s">
        <v>1520</v>
      </c>
      <c r="H64" s="16" t="s">
        <v>2069</v>
      </c>
      <c r="I64" s="16" t="s">
        <v>130</v>
      </c>
      <c r="J64" s="16" t="s">
        <v>2178</v>
      </c>
      <c r="K64" s="194">
        <v>2.4</v>
      </c>
      <c r="L64" s="200">
        <f t="shared" si="1"/>
        <v>2.4</v>
      </c>
    </row>
    <row r="65" spans="1:14" ht="15" customHeight="1" x14ac:dyDescent="0.25">
      <c r="A65" s="16">
        <v>1154209</v>
      </c>
      <c r="B65" s="16" t="s">
        <v>2205</v>
      </c>
      <c r="C65" s="16" t="s">
        <v>2206</v>
      </c>
      <c r="D65" s="16" t="s">
        <v>2204</v>
      </c>
      <c r="E65" s="16">
        <v>1</v>
      </c>
      <c r="F65" s="16" t="s">
        <v>2190</v>
      </c>
      <c r="G65" s="16" t="s">
        <v>1520</v>
      </c>
      <c r="H65" s="16" t="s">
        <v>2069</v>
      </c>
      <c r="I65" s="16" t="s">
        <v>130</v>
      </c>
      <c r="J65" s="16" t="s">
        <v>2178</v>
      </c>
      <c r="K65" s="194">
        <v>2.29</v>
      </c>
      <c r="L65" s="200">
        <f t="shared" si="1"/>
        <v>2.29</v>
      </c>
    </row>
    <row r="66" spans="1:14" ht="15" customHeight="1" x14ac:dyDescent="0.25">
      <c r="A66" s="16">
        <v>147808</v>
      </c>
      <c r="B66" s="16" t="s">
        <v>2207</v>
      </c>
      <c r="C66" s="16" t="s">
        <v>2208</v>
      </c>
      <c r="D66" s="16" t="s">
        <v>130</v>
      </c>
      <c r="E66" s="16">
        <v>1</v>
      </c>
      <c r="F66" s="16" t="s">
        <v>2158</v>
      </c>
      <c r="G66" s="16" t="s">
        <v>1520</v>
      </c>
      <c r="H66" s="201" t="s">
        <v>2074</v>
      </c>
      <c r="I66" s="202" t="s">
        <v>2075</v>
      </c>
      <c r="J66" s="16" t="s">
        <v>2209</v>
      </c>
      <c r="L66" s="200">
        <f t="shared" ref="L66:L97" si="2">IF(ISNUMBER(K66),E66*K66,0)</f>
        <v>0</v>
      </c>
    </row>
    <row r="67" spans="1:14" ht="15" customHeight="1" x14ac:dyDescent="0.25">
      <c r="A67" s="16">
        <v>147808</v>
      </c>
      <c r="B67" s="16" t="s">
        <v>2210</v>
      </c>
      <c r="C67" s="16" t="s">
        <v>2211</v>
      </c>
      <c r="D67" s="16" t="s">
        <v>130</v>
      </c>
      <c r="E67" s="16">
        <v>1</v>
      </c>
      <c r="F67" s="16" t="s">
        <v>2158</v>
      </c>
      <c r="G67" s="16" t="s">
        <v>1520</v>
      </c>
      <c r="H67" s="201" t="s">
        <v>2074</v>
      </c>
      <c r="I67" s="202" t="s">
        <v>2075</v>
      </c>
      <c r="J67" s="16" t="s">
        <v>2209</v>
      </c>
      <c r="L67" s="200">
        <f t="shared" si="2"/>
        <v>0</v>
      </c>
    </row>
    <row r="68" spans="1:14" ht="15" customHeight="1" x14ac:dyDescent="0.25">
      <c r="A68" s="16">
        <v>115469</v>
      </c>
      <c r="B68" s="16" t="s">
        <v>2212</v>
      </c>
      <c r="C68" s="16" t="s">
        <v>2213</v>
      </c>
      <c r="D68" s="16" t="s">
        <v>130</v>
      </c>
      <c r="E68" s="16">
        <v>2</v>
      </c>
      <c r="F68" s="16" t="s">
        <v>2158</v>
      </c>
      <c r="G68" s="16" t="s">
        <v>1520</v>
      </c>
      <c r="H68" s="201" t="s">
        <v>2074</v>
      </c>
      <c r="I68" s="202" t="s">
        <v>2075</v>
      </c>
      <c r="J68" s="16" t="s">
        <v>2214</v>
      </c>
      <c r="L68" s="200">
        <f t="shared" si="2"/>
        <v>0</v>
      </c>
    </row>
    <row r="69" spans="1:14" ht="15" customHeight="1" x14ac:dyDescent="0.25">
      <c r="A69" s="16">
        <v>115469</v>
      </c>
      <c r="B69" s="16" t="s">
        <v>2148</v>
      </c>
      <c r="C69" s="16" t="s">
        <v>2149</v>
      </c>
      <c r="D69" s="16" t="s">
        <v>130</v>
      </c>
      <c r="E69" s="16">
        <v>2</v>
      </c>
      <c r="F69" s="16" t="s">
        <v>2152</v>
      </c>
      <c r="G69" s="16" t="s">
        <v>1520</v>
      </c>
      <c r="H69" s="16" t="s">
        <v>2069</v>
      </c>
      <c r="I69" s="16" t="s">
        <v>130</v>
      </c>
      <c r="J69" s="16" t="s">
        <v>2094</v>
      </c>
      <c r="K69" s="194">
        <v>3.5636363636363598E-2</v>
      </c>
      <c r="L69" s="200">
        <f t="shared" si="2"/>
        <v>7.1272727272727196E-2</v>
      </c>
    </row>
    <row r="70" spans="1:14" ht="15" customHeight="1" x14ac:dyDescent="0.25">
      <c r="A70" s="204">
        <v>216696</v>
      </c>
      <c r="B70" s="204" t="s">
        <v>2215</v>
      </c>
      <c r="C70" s="204" t="s">
        <v>2216</v>
      </c>
      <c r="D70" s="204" t="s">
        <v>2067</v>
      </c>
      <c r="E70" s="204">
        <v>1</v>
      </c>
      <c r="F70" s="16" t="s">
        <v>2162</v>
      </c>
      <c r="G70" s="16" t="s">
        <v>1520</v>
      </c>
      <c r="H70" s="199" t="s">
        <v>2069</v>
      </c>
      <c r="I70" s="16" t="s">
        <v>130</v>
      </c>
      <c r="J70" s="16" t="s">
        <v>2217</v>
      </c>
      <c r="K70" s="194" t="s">
        <v>2104</v>
      </c>
      <c r="L70" s="200">
        <f t="shared" si="2"/>
        <v>0</v>
      </c>
    </row>
    <row r="71" spans="1:14" ht="15" customHeight="1" x14ac:dyDescent="0.25">
      <c r="A71" s="16">
        <v>771104</v>
      </c>
      <c r="B71" s="16" t="s">
        <v>2218</v>
      </c>
      <c r="C71" s="16" t="s">
        <v>2219</v>
      </c>
      <c r="D71" s="16" t="s">
        <v>130</v>
      </c>
      <c r="E71" s="16">
        <v>1</v>
      </c>
      <c r="F71" s="16" t="s">
        <v>2158</v>
      </c>
      <c r="G71" s="16" t="s">
        <v>1520</v>
      </c>
      <c r="H71" s="199" t="s">
        <v>2069</v>
      </c>
      <c r="I71" s="16" t="s">
        <v>130</v>
      </c>
      <c r="J71" s="16" t="s">
        <v>2178</v>
      </c>
      <c r="K71" s="194">
        <v>1.82</v>
      </c>
      <c r="L71" s="200">
        <f t="shared" si="2"/>
        <v>1.82</v>
      </c>
    </row>
    <row r="72" spans="1:14" ht="15" customHeight="1" x14ac:dyDescent="0.25">
      <c r="A72" s="16">
        <v>771104</v>
      </c>
      <c r="B72" s="16" t="s">
        <v>2220</v>
      </c>
      <c r="C72" s="16" t="s">
        <v>2221</v>
      </c>
      <c r="D72" s="16" t="s">
        <v>130</v>
      </c>
      <c r="E72" s="16">
        <v>1</v>
      </c>
      <c r="F72" s="16" t="s">
        <v>2158</v>
      </c>
      <c r="G72" s="16" t="s">
        <v>1520</v>
      </c>
      <c r="H72" s="199" t="s">
        <v>2069</v>
      </c>
      <c r="I72" s="16" t="s">
        <v>130</v>
      </c>
      <c r="J72" s="16" t="s">
        <v>2178</v>
      </c>
      <c r="K72" s="194">
        <v>1.17</v>
      </c>
      <c r="L72" s="200">
        <f t="shared" si="2"/>
        <v>1.17</v>
      </c>
    </row>
    <row r="73" spans="1:14" ht="15" customHeight="1" x14ac:dyDescent="0.25">
      <c r="A73" s="16">
        <v>395097</v>
      </c>
      <c r="B73" s="16" t="s">
        <v>2222</v>
      </c>
      <c r="C73" s="16" t="s">
        <v>2223</v>
      </c>
      <c r="D73" s="16" t="s">
        <v>130</v>
      </c>
      <c r="E73" s="16">
        <v>1</v>
      </c>
      <c r="F73" s="16" t="s">
        <v>2158</v>
      </c>
      <c r="G73" s="16" t="s">
        <v>1520</v>
      </c>
      <c r="H73" s="199" t="s">
        <v>2069</v>
      </c>
      <c r="I73" s="16" t="s">
        <v>130</v>
      </c>
      <c r="J73" s="16" t="s">
        <v>2178</v>
      </c>
      <c r="K73" s="194">
        <v>1.95</v>
      </c>
      <c r="L73" s="200">
        <f t="shared" si="2"/>
        <v>1.95</v>
      </c>
    </row>
    <row r="74" spans="1:14" ht="15" customHeight="1" x14ac:dyDescent="0.25">
      <c r="A74" s="16">
        <v>379865</v>
      </c>
      <c r="B74" s="16" t="s">
        <v>2224</v>
      </c>
      <c r="C74" s="16" t="s">
        <v>2225</v>
      </c>
      <c r="D74" s="16" t="s">
        <v>2204</v>
      </c>
      <c r="E74" s="16">
        <v>1</v>
      </c>
      <c r="F74" s="16" t="s">
        <v>2190</v>
      </c>
      <c r="G74" s="16" t="s">
        <v>1520</v>
      </c>
      <c r="H74" s="199" t="s">
        <v>2069</v>
      </c>
      <c r="I74" s="16" t="s">
        <v>130</v>
      </c>
      <c r="J74" s="16" t="s">
        <v>2178</v>
      </c>
      <c r="K74" s="194">
        <v>2.52</v>
      </c>
      <c r="L74" s="200">
        <f t="shared" si="2"/>
        <v>2.52</v>
      </c>
    </row>
    <row r="75" spans="1:14" ht="15" customHeight="1" x14ac:dyDescent="0.25">
      <c r="A75" s="16">
        <v>379461</v>
      </c>
      <c r="B75" s="16" t="s">
        <v>2226</v>
      </c>
      <c r="C75" s="16" t="s">
        <v>2227</v>
      </c>
      <c r="D75" s="16" t="s">
        <v>2204</v>
      </c>
      <c r="E75" s="16">
        <v>1</v>
      </c>
      <c r="F75" s="16" t="s">
        <v>2190</v>
      </c>
      <c r="G75" s="16" t="s">
        <v>1520</v>
      </c>
      <c r="H75" s="199" t="s">
        <v>2069</v>
      </c>
      <c r="I75" s="16" t="s">
        <v>130</v>
      </c>
      <c r="J75" s="16" t="s">
        <v>2178</v>
      </c>
      <c r="K75" s="194">
        <v>2.34</v>
      </c>
      <c r="L75" s="200">
        <f t="shared" si="2"/>
        <v>2.34</v>
      </c>
    </row>
    <row r="76" spans="1:14" ht="15" customHeight="1" x14ac:dyDescent="0.25">
      <c r="A76" s="203">
        <v>120832</v>
      </c>
      <c r="B76" s="203" t="s">
        <v>2228</v>
      </c>
      <c r="C76" s="203" t="s">
        <v>2229</v>
      </c>
      <c r="D76" s="203" t="s">
        <v>2067</v>
      </c>
      <c r="E76" s="203">
        <v>1</v>
      </c>
      <c r="F76" s="203" t="s">
        <v>2162</v>
      </c>
      <c r="G76" s="203" t="s">
        <v>1520</v>
      </c>
      <c r="H76" s="203" t="s">
        <v>2069</v>
      </c>
      <c r="I76" s="16" t="s">
        <v>130</v>
      </c>
      <c r="J76" s="16" t="s">
        <v>2230</v>
      </c>
      <c r="K76" s="194" t="s">
        <v>2083</v>
      </c>
      <c r="L76" s="200">
        <f t="shared" si="2"/>
        <v>0</v>
      </c>
    </row>
    <row r="77" spans="1:14" ht="15" customHeight="1" x14ac:dyDescent="0.25">
      <c r="A77" s="16">
        <v>543391</v>
      </c>
      <c r="B77" s="16" t="s">
        <v>978</v>
      </c>
      <c r="C77" s="16" t="s">
        <v>979</v>
      </c>
      <c r="D77" s="16" t="s">
        <v>130</v>
      </c>
      <c r="E77" s="16">
        <v>1</v>
      </c>
      <c r="F77" s="16" t="s">
        <v>2158</v>
      </c>
      <c r="G77" s="16" t="s">
        <v>1520</v>
      </c>
      <c r="H77" s="199" t="s">
        <v>2069</v>
      </c>
      <c r="I77" s="16" t="s">
        <v>130</v>
      </c>
      <c r="J77" s="16" t="s">
        <v>2175</v>
      </c>
      <c r="K77" s="194">
        <v>3.66</v>
      </c>
      <c r="L77" s="200">
        <f t="shared" si="2"/>
        <v>3.66</v>
      </c>
    </row>
    <row r="78" spans="1:14" ht="15" customHeight="1" x14ac:dyDescent="0.25">
      <c r="A78" s="203">
        <v>404443</v>
      </c>
      <c r="B78" s="203" t="s">
        <v>2231</v>
      </c>
      <c r="C78" s="203" t="s">
        <v>2232</v>
      </c>
      <c r="D78" s="203" t="s">
        <v>130</v>
      </c>
      <c r="E78" s="203">
        <v>1</v>
      </c>
      <c r="F78" s="203" t="s">
        <v>2158</v>
      </c>
      <c r="G78" s="203" t="s">
        <v>1520</v>
      </c>
      <c r="H78" s="203" t="s">
        <v>2069</v>
      </c>
      <c r="I78" s="16" t="s">
        <v>130</v>
      </c>
      <c r="J78" s="16" t="s">
        <v>2233</v>
      </c>
      <c r="K78" s="194" t="s">
        <v>2083</v>
      </c>
      <c r="L78" s="200">
        <f t="shared" si="2"/>
        <v>0</v>
      </c>
      <c r="N78">
        <v>159.61000000000001</v>
      </c>
    </row>
    <row r="79" spans="1:14" ht="15" customHeight="1" x14ac:dyDescent="0.25">
      <c r="A79" s="204">
        <v>120828</v>
      </c>
      <c r="B79" s="16" t="s">
        <v>2234</v>
      </c>
      <c r="C79" s="204" t="s">
        <v>2235</v>
      </c>
      <c r="D79" s="204" t="s">
        <v>130</v>
      </c>
      <c r="E79" s="204">
        <v>1</v>
      </c>
      <c r="F79" s="16" t="s">
        <v>2158</v>
      </c>
      <c r="G79" s="16" t="s">
        <v>1520</v>
      </c>
      <c r="H79" s="199" t="s">
        <v>2069</v>
      </c>
      <c r="I79" s="16" t="s">
        <v>130</v>
      </c>
      <c r="J79" s="16" t="s">
        <v>2236</v>
      </c>
      <c r="K79" s="194" t="s">
        <v>2104</v>
      </c>
      <c r="L79" s="200">
        <f t="shared" si="2"/>
        <v>0</v>
      </c>
    </row>
    <row r="80" spans="1:14" ht="15" customHeight="1" x14ac:dyDescent="0.25">
      <c r="A80" s="16">
        <v>110479</v>
      </c>
      <c r="B80" s="16" t="s">
        <v>2237</v>
      </c>
      <c r="C80" s="16" t="s">
        <v>2238</v>
      </c>
      <c r="D80" s="16" t="s">
        <v>130</v>
      </c>
      <c r="E80" s="16">
        <v>1</v>
      </c>
      <c r="F80" s="16" t="s">
        <v>2158</v>
      </c>
      <c r="G80" s="16" t="s">
        <v>1520</v>
      </c>
      <c r="H80" s="201" t="s">
        <v>2074</v>
      </c>
      <c r="I80" s="202" t="s">
        <v>2075</v>
      </c>
      <c r="J80" s="16" t="s">
        <v>2181</v>
      </c>
      <c r="L80" s="200">
        <f t="shared" si="2"/>
        <v>0</v>
      </c>
    </row>
    <row r="81" spans="1:12" ht="15" customHeight="1" x14ac:dyDescent="0.25">
      <c r="A81" s="204">
        <v>403043</v>
      </c>
      <c r="B81" s="16" t="s">
        <v>2215</v>
      </c>
      <c r="C81" s="204" t="s">
        <v>2216</v>
      </c>
      <c r="D81" s="204" t="s">
        <v>2067</v>
      </c>
      <c r="E81" s="204">
        <v>1</v>
      </c>
      <c r="F81" s="16" t="s">
        <v>2162</v>
      </c>
      <c r="G81" s="16" t="s">
        <v>1520</v>
      </c>
      <c r="H81" s="199" t="s">
        <v>2069</v>
      </c>
      <c r="I81" s="16" t="s">
        <v>130</v>
      </c>
      <c r="J81" s="16" t="s">
        <v>2217</v>
      </c>
      <c r="K81" s="194" t="s">
        <v>2104</v>
      </c>
      <c r="L81" s="200">
        <f t="shared" si="2"/>
        <v>0</v>
      </c>
    </row>
    <row r="82" spans="1:12" ht="15" customHeight="1" x14ac:dyDescent="0.25">
      <c r="A82" s="16">
        <v>1225643</v>
      </c>
      <c r="B82" s="16" t="s">
        <v>2239</v>
      </c>
      <c r="C82" s="16" t="s">
        <v>2240</v>
      </c>
      <c r="D82" s="16" t="s">
        <v>2086</v>
      </c>
      <c r="E82" s="16">
        <v>1</v>
      </c>
      <c r="F82" s="16" t="s">
        <v>2190</v>
      </c>
      <c r="G82" s="16" t="s">
        <v>1520</v>
      </c>
      <c r="H82" s="16" t="s">
        <v>2069</v>
      </c>
      <c r="I82" s="16" t="s">
        <v>130</v>
      </c>
      <c r="J82" s="16" t="s">
        <v>2241</v>
      </c>
      <c r="K82" s="194">
        <v>0.91</v>
      </c>
      <c r="L82" s="200">
        <f t="shared" si="2"/>
        <v>0.91</v>
      </c>
    </row>
    <row r="83" spans="1:12" ht="15" customHeight="1" x14ac:dyDescent="0.25">
      <c r="A83" s="16">
        <v>241116</v>
      </c>
      <c r="B83" s="16" t="s">
        <v>2242</v>
      </c>
      <c r="C83" s="16" t="s">
        <v>2243</v>
      </c>
      <c r="D83" s="16" t="s">
        <v>2086</v>
      </c>
      <c r="E83" s="16">
        <v>1</v>
      </c>
      <c r="F83" s="16" t="s">
        <v>2190</v>
      </c>
      <c r="G83" s="16" t="s">
        <v>1520</v>
      </c>
      <c r="H83" s="16" t="s">
        <v>2069</v>
      </c>
      <c r="I83" s="16" t="s">
        <v>130</v>
      </c>
      <c r="J83" s="16" t="s">
        <v>2178</v>
      </c>
      <c r="K83" s="194">
        <v>1.36</v>
      </c>
      <c r="L83" s="200">
        <f t="shared" si="2"/>
        <v>1.36</v>
      </c>
    </row>
    <row r="84" spans="1:12" ht="15" customHeight="1" x14ac:dyDescent="0.25">
      <c r="A84" s="16">
        <v>121806</v>
      </c>
      <c r="B84" s="16" t="s">
        <v>814</v>
      </c>
      <c r="C84" s="16" t="s">
        <v>815</v>
      </c>
      <c r="D84" s="16" t="s">
        <v>130</v>
      </c>
      <c r="E84" s="16">
        <v>1</v>
      </c>
      <c r="F84" s="16" t="s">
        <v>2158</v>
      </c>
      <c r="G84" s="16" t="s">
        <v>1520</v>
      </c>
      <c r="H84" s="16" t="s">
        <v>2069</v>
      </c>
      <c r="I84" s="16" t="s">
        <v>130</v>
      </c>
      <c r="J84" s="16" t="s">
        <v>2175</v>
      </c>
      <c r="K84" s="194">
        <v>3.35</v>
      </c>
      <c r="L84" s="200">
        <f t="shared" si="2"/>
        <v>3.35</v>
      </c>
    </row>
    <row r="85" spans="1:12" ht="15" customHeight="1" x14ac:dyDescent="0.25">
      <c r="A85" s="16">
        <v>121806</v>
      </c>
      <c r="B85" s="16" t="s">
        <v>816</v>
      </c>
      <c r="C85" s="16" t="s">
        <v>817</v>
      </c>
      <c r="D85" s="16" t="s">
        <v>130</v>
      </c>
      <c r="E85" s="16">
        <v>6</v>
      </c>
      <c r="F85" s="16" t="s">
        <v>2158</v>
      </c>
      <c r="G85" s="16" t="s">
        <v>1520</v>
      </c>
      <c r="H85" s="16" t="s">
        <v>2069</v>
      </c>
      <c r="I85" s="16" t="s">
        <v>130</v>
      </c>
      <c r="J85" s="16" t="s">
        <v>2244</v>
      </c>
      <c r="K85" s="194">
        <v>0.57999999999999996</v>
      </c>
      <c r="L85" s="200">
        <f t="shared" si="2"/>
        <v>3.4799999999999995</v>
      </c>
    </row>
    <row r="86" spans="1:12" ht="15" customHeight="1" x14ac:dyDescent="0.25">
      <c r="A86" s="16">
        <v>561769</v>
      </c>
      <c r="B86" s="16" t="s">
        <v>2148</v>
      </c>
      <c r="C86" s="16" t="s">
        <v>2149</v>
      </c>
      <c r="D86" s="16" t="s">
        <v>130</v>
      </c>
      <c r="E86" s="16">
        <v>2</v>
      </c>
      <c r="F86" s="16" t="s">
        <v>2152</v>
      </c>
      <c r="G86" s="16" t="s">
        <v>1520</v>
      </c>
      <c r="H86" s="16" t="s">
        <v>2069</v>
      </c>
      <c r="I86" s="16" t="s">
        <v>130</v>
      </c>
      <c r="J86" s="16" t="s">
        <v>2094</v>
      </c>
      <c r="K86" s="194">
        <v>3.5636363636363598E-2</v>
      </c>
      <c r="L86" s="200">
        <f t="shared" si="2"/>
        <v>7.1272727272727196E-2</v>
      </c>
    </row>
    <row r="87" spans="1:12" ht="15" customHeight="1" x14ac:dyDescent="0.25">
      <c r="A87" s="16">
        <v>241377</v>
      </c>
      <c r="B87" s="16" t="s">
        <v>918</v>
      </c>
      <c r="C87" s="16" t="s">
        <v>919</v>
      </c>
      <c r="D87" s="16" t="s">
        <v>130</v>
      </c>
      <c r="E87" s="16">
        <v>1</v>
      </c>
      <c r="F87" s="16" t="s">
        <v>2158</v>
      </c>
      <c r="G87" s="16" t="s">
        <v>1520</v>
      </c>
      <c r="H87" s="16" t="s">
        <v>2069</v>
      </c>
      <c r="I87" s="16" t="s">
        <v>130</v>
      </c>
      <c r="J87" s="16" t="s">
        <v>2175</v>
      </c>
      <c r="K87" s="194">
        <v>2.64</v>
      </c>
      <c r="L87" s="200">
        <f t="shared" si="2"/>
        <v>2.64</v>
      </c>
    </row>
    <row r="88" spans="1:12" ht="15" customHeight="1" x14ac:dyDescent="0.25">
      <c r="A88" s="16">
        <v>241377</v>
      </c>
      <c r="B88" s="16" t="s">
        <v>816</v>
      </c>
      <c r="C88" s="16" t="s">
        <v>920</v>
      </c>
      <c r="D88" s="16" t="s">
        <v>130</v>
      </c>
      <c r="E88" s="16">
        <v>4</v>
      </c>
      <c r="F88" s="16" t="s">
        <v>2158</v>
      </c>
      <c r="G88" s="16" t="s">
        <v>1520</v>
      </c>
      <c r="H88" s="16" t="s">
        <v>2069</v>
      </c>
      <c r="I88" s="16" t="s">
        <v>130</v>
      </c>
      <c r="J88" s="16" t="s">
        <v>2244</v>
      </c>
      <c r="K88" s="194">
        <v>0.57999999999999996</v>
      </c>
      <c r="L88" s="200">
        <f t="shared" si="2"/>
        <v>2.3199999999999998</v>
      </c>
    </row>
    <row r="89" spans="1:12" ht="15" customHeight="1" x14ac:dyDescent="0.25">
      <c r="A89" s="16">
        <v>418374</v>
      </c>
      <c r="B89" s="16" t="s">
        <v>2245</v>
      </c>
      <c r="C89" s="16" t="s">
        <v>2246</v>
      </c>
      <c r="D89" s="16" t="s">
        <v>130</v>
      </c>
      <c r="E89" s="16">
        <v>1</v>
      </c>
      <c r="F89" s="16" t="s">
        <v>2158</v>
      </c>
      <c r="G89" s="16" t="s">
        <v>1520</v>
      </c>
      <c r="H89" s="201" t="s">
        <v>2074</v>
      </c>
      <c r="I89" s="202" t="s">
        <v>2075</v>
      </c>
      <c r="J89" s="16" t="s">
        <v>2247</v>
      </c>
      <c r="L89" s="200">
        <f t="shared" si="2"/>
        <v>0</v>
      </c>
    </row>
    <row r="90" spans="1:12" ht="15" customHeight="1" x14ac:dyDescent="0.25">
      <c r="A90" s="16">
        <v>1056822</v>
      </c>
      <c r="B90" s="16" t="s">
        <v>2248</v>
      </c>
      <c r="C90" s="16" t="s">
        <v>2249</v>
      </c>
      <c r="D90" s="16" t="s">
        <v>2250</v>
      </c>
      <c r="E90" s="16">
        <v>1</v>
      </c>
      <c r="F90" s="16" t="s">
        <v>2190</v>
      </c>
      <c r="G90" s="16" t="s">
        <v>1520</v>
      </c>
      <c r="H90" s="201" t="s">
        <v>2074</v>
      </c>
      <c r="I90" s="202" t="s">
        <v>2075</v>
      </c>
      <c r="J90" s="16" t="s">
        <v>2251</v>
      </c>
      <c r="L90" s="200">
        <f t="shared" si="2"/>
        <v>0</v>
      </c>
    </row>
    <row r="91" spans="1:12" ht="15" customHeight="1" x14ac:dyDescent="0.25">
      <c r="A91" s="16">
        <v>1056822</v>
      </c>
      <c r="B91" s="16" t="s">
        <v>2252</v>
      </c>
      <c r="C91" s="16" t="s">
        <v>2253</v>
      </c>
      <c r="D91" s="16" t="s">
        <v>130</v>
      </c>
      <c r="E91" s="16">
        <v>1</v>
      </c>
      <c r="F91" s="16" t="s">
        <v>2158</v>
      </c>
      <c r="G91" s="16" t="s">
        <v>1520</v>
      </c>
      <c r="H91" s="201" t="s">
        <v>2074</v>
      </c>
      <c r="I91" s="202" t="s">
        <v>2075</v>
      </c>
      <c r="J91" s="16" t="s">
        <v>2254</v>
      </c>
      <c r="L91" s="200">
        <f t="shared" si="2"/>
        <v>0</v>
      </c>
    </row>
    <row r="92" spans="1:12" ht="15" customHeight="1" x14ac:dyDescent="0.25">
      <c r="A92" s="16">
        <v>232718</v>
      </c>
      <c r="B92" s="16" t="s">
        <v>2248</v>
      </c>
      <c r="C92" s="16" t="s">
        <v>2249</v>
      </c>
      <c r="D92" s="16" t="s">
        <v>2250</v>
      </c>
      <c r="E92" s="16">
        <v>1</v>
      </c>
      <c r="F92" s="16" t="s">
        <v>2190</v>
      </c>
      <c r="G92" s="16" t="s">
        <v>1520</v>
      </c>
      <c r="H92" s="201" t="s">
        <v>2074</v>
      </c>
      <c r="I92" s="202" t="s">
        <v>2075</v>
      </c>
      <c r="J92" s="16" t="s">
        <v>2251</v>
      </c>
      <c r="L92" s="200">
        <f t="shared" si="2"/>
        <v>0</v>
      </c>
    </row>
    <row r="93" spans="1:12" ht="15" customHeight="1" x14ac:dyDescent="0.25">
      <c r="A93" s="16">
        <v>232718</v>
      </c>
      <c r="B93" s="16" t="s">
        <v>2255</v>
      </c>
      <c r="C93" s="16" t="s">
        <v>2256</v>
      </c>
      <c r="D93" s="16" t="s">
        <v>130</v>
      </c>
      <c r="E93" s="16">
        <v>1</v>
      </c>
      <c r="F93" s="16" t="s">
        <v>2158</v>
      </c>
      <c r="G93" s="16" t="s">
        <v>1520</v>
      </c>
      <c r="H93" s="201" t="s">
        <v>2074</v>
      </c>
      <c r="I93" s="202" t="s">
        <v>2075</v>
      </c>
      <c r="J93" s="16" t="s">
        <v>2254</v>
      </c>
      <c r="L93" s="200">
        <f t="shared" si="2"/>
        <v>0</v>
      </c>
    </row>
    <row r="94" spans="1:12" ht="15" customHeight="1" x14ac:dyDescent="0.25">
      <c r="A94" s="16">
        <v>109920</v>
      </c>
      <c r="B94" s="16" t="s">
        <v>2257</v>
      </c>
      <c r="C94" s="16" t="s">
        <v>2258</v>
      </c>
      <c r="D94" s="16" t="s">
        <v>2259</v>
      </c>
      <c r="E94" s="16">
        <v>1</v>
      </c>
      <c r="F94" s="16" t="s">
        <v>2190</v>
      </c>
      <c r="G94" s="16" t="s">
        <v>1520</v>
      </c>
      <c r="H94" s="201" t="s">
        <v>2074</v>
      </c>
      <c r="I94" s="202" t="s">
        <v>2075</v>
      </c>
      <c r="J94" s="16" t="s">
        <v>2260</v>
      </c>
      <c r="L94" s="200">
        <f t="shared" si="2"/>
        <v>0</v>
      </c>
    </row>
    <row r="95" spans="1:12" ht="15" customHeight="1" x14ac:dyDescent="0.25">
      <c r="A95" s="16">
        <v>237104</v>
      </c>
      <c r="B95" s="16" t="s">
        <v>2261</v>
      </c>
      <c r="C95" s="16" t="s">
        <v>2262</v>
      </c>
      <c r="D95" s="16" t="s">
        <v>130</v>
      </c>
      <c r="E95" s="16">
        <v>1</v>
      </c>
      <c r="F95" s="16" t="s">
        <v>2158</v>
      </c>
      <c r="G95" s="16" t="s">
        <v>1520</v>
      </c>
      <c r="H95" s="201" t="s">
        <v>2074</v>
      </c>
      <c r="I95" s="202" t="s">
        <v>2075</v>
      </c>
      <c r="J95" s="16" t="s">
        <v>2214</v>
      </c>
      <c r="L95" s="200">
        <f t="shared" si="2"/>
        <v>0</v>
      </c>
    </row>
    <row r="96" spans="1:12" ht="15" customHeight="1" x14ac:dyDescent="0.25">
      <c r="A96" s="16">
        <v>108818</v>
      </c>
      <c r="B96" s="16" t="s">
        <v>2263</v>
      </c>
      <c r="C96" s="16" t="s">
        <v>749</v>
      </c>
      <c r="D96" s="16" t="s">
        <v>130</v>
      </c>
      <c r="E96" s="16">
        <v>1</v>
      </c>
      <c r="F96" s="16" t="s">
        <v>2158</v>
      </c>
      <c r="G96" s="16" t="s">
        <v>1520</v>
      </c>
      <c r="H96" s="201" t="s">
        <v>2074</v>
      </c>
      <c r="I96" s="202" t="s">
        <v>2075</v>
      </c>
      <c r="J96" s="16" t="s">
        <v>2199</v>
      </c>
      <c r="L96" s="200">
        <f t="shared" si="2"/>
        <v>0</v>
      </c>
    </row>
    <row r="97" spans="1:12" ht="15" customHeight="1" x14ac:dyDescent="0.25">
      <c r="A97" s="16">
        <v>149964</v>
      </c>
      <c r="B97" s="16" t="s">
        <v>2264</v>
      </c>
      <c r="C97" s="16" t="s">
        <v>2265</v>
      </c>
      <c r="D97" s="16" t="s">
        <v>130</v>
      </c>
      <c r="E97" s="16">
        <v>1</v>
      </c>
      <c r="F97" s="16" t="s">
        <v>2158</v>
      </c>
      <c r="G97" s="16" t="s">
        <v>1520</v>
      </c>
      <c r="H97" s="201" t="s">
        <v>2074</v>
      </c>
      <c r="I97" s="202" t="s">
        <v>2075</v>
      </c>
      <c r="J97" s="16" t="s">
        <v>2193</v>
      </c>
      <c r="L97" s="200">
        <f t="shared" si="2"/>
        <v>0</v>
      </c>
    </row>
    <row r="98" spans="1:12" ht="15" customHeight="1" x14ac:dyDescent="0.25">
      <c r="A98" s="16">
        <v>657844</v>
      </c>
      <c r="B98" s="16" t="s">
        <v>2266</v>
      </c>
      <c r="C98" s="16" t="s">
        <v>2267</v>
      </c>
      <c r="D98" s="16" t="s">
        <v>130</v>
      </c>
      <c r="E98" s="16">
        <v>1</v>
      </c>
      <c r="F98" s="16" t="s">
        <v>2158</v>
      </c>
      <c r="G98" s="16" t="s">
        <v>1520</v>
      </c>
      <c r="H98" s="16" t="s">
        <v>2069</v>
      </c>
      <c r="I98" s="16" t="s">
        <v>130</v>
      </c>
      <c r="J98" s="16" t="s">
        <v>2268</v>
      </c>
      <c r="K98" s="194">
        <v>0.505</v>
      </c>
      <c r="L98" s="200">
        <f t="shared" ref="L98:L129" si="3">IF(ISNUMBER(K98),E98*K98,0)</f>
        <v>0.505</v>
      </c>
    </row>
    <row r="99" spans="1:12" ht="15" customHeight="1" x14ac:dyDescent="0.25">
      <c r="A99" s="16">
        <v>543414</v>
      </c>
      <c r="B99" s="16" t="s">
        <v>2269</v>
      </c>
      <c r="C99" s="16" t="s">
        <v>2270</v>
      </c>
      <c r="D99" s="16" t="s">
        <v>2204</v>
      </c>
      <c r="E99" s="16">
        <v>1</v>
      </c>
      <c r="F99" s="16" t="s">
        <v>2190</v>
      </c>
      <c r="G99" s="16" t="s">
        <v>1520</v>
      </c>
      <c r="H99" s="16" t="s">
        <v>2069</v>
      </c>
      <c r="I99" s="16" t="s">
        <v>130</v>
      </c>
      <c r="J99" s="16" t="s">
        <v>2178</v>
      </c>
      <c r="K99" s="194">
        <v>0.4</v>
      </c>
      <c r="L99" s="200">
        <f t="shared" si="3"/>
        <v>0.4</v>
      </c>
    </row>
    <row r="100" spans="1:12" ht="15" customHeight="1" x14ac:dyDescent="0.25">
      <c r="A100" s="16">
        <v>207243</v>
      </c>
      <c r="B100" s="16" t="s">
        <v>2271</v>
      </c>
      <c r="C100" s="16" t="s">
        <v>2272</v>
      </c>
      <c r="D100" s="16" t="s">
        <v>130</v>
      </c>
      <c r="E100" s="16">
        <v>1</v>
      </c>
      <c r="F100" s="16" t="s">
        <v>2158</v>
      </c>
      <c r="G100" s="16" t="s">
        <v>1520</v>
      </c>
      <c r="H100" s="16" t="s">
        <v>2069</v>
      </c>
      <c r="I100" s="16" t="s">
        <v>130</v>
      </c>
      <c r="J100" s="16" t="s">
        <v>2175</v>
      </c>
      <c r="K100" s="194">
        <v>1.01</v>
      </c>
      <c r="L100" s="200">
        <f t="shared" si="3"/>
        <v>1.01</v>
      </c>
    </row>
    <row r="101" spans="1:12" ht="15" customHeight="1" x14ac:dyDescent="0.25">
      <c r="A101" s="16">
        <v>189224</v>
      </c>
      <c r="B101" s="16" t="s">
        <v>2273</v>
      </c>
      <c r="C101" s="16" t="s">
        <v>2274</v>
      </c>
      <c r="D101" s="16" t="s">
        <v>130</v>
      </c>
      <c r="E101" s="16">
        <v>1</v>
      </c>
      <c r="F101" s="16" t="s">
        <v>2158</v>
      </c>
      <c r="G101" s="16" t="s">
        <v>1520</v>
      </c>
      <c r="H101" s="201" t="s">
        <v>2074</v>
      </c>
      <c r="I101" s="202" t="s">
        <v>2075</v>
      </c>
      <c r="J101" s="16" t="s">
        <v>2209</v>
      </c>
      <c r="L101" s="200">
        <f t="shared" si="3"/>
        <v>0</v>
      </c>
    </row>
    <row r="102" spans="1:12" ht="15" customHeight="1" x14ac:dyDescent="0.25">
      <c r="A102" s="16">
        <v>121655</v>
      </c>
      <c r="B102" s="16" t="s">
        <v>2275</v>
      </c>
      <c r="C102" s="16" t="s">
        <v>2276</v>
      </c>
      <c r="D102" s="16" t="s">
        <v>130</v>
      </c>
      <c r="E102" s="16">
        <v>1</v>
      </c>
      <c r="F102" s="16" t="s">
        <v>2158</v>
      </c>
      <c r="G102" s="16" t="s">
        <v>1520</v>
      </c>
      <c r="H102" s="16" t="s">
        <v>2069</v>
      </c>
      <c r="I102" s="16" t="s">
        <v>130</v>
      </c>
      <c r="J102" s="16" t="s">
        <v>2175</v>
      </c>
      <c r="K102" s="194">
        <v>0.79</v>
      </c>
      <c r="L102" s="200">
        <f t="shared" si="3"/>
        <v>0.79</v>
      </c>
    </row>
    <row r="103" spans="1:12" ht="15" customHeight="1" x14ac:dyDescent="0.25">
      <c r="A103" s="204">
        <v>430862</v>
      </c>
      <c r="B103" s="204" t="s">
        <v>2277</v>
      </c>
      <c r="C103" s="204" t="s">
        <v>2278</v>
      </c>
      <c r="D103" s="204" t="s">
        <v>130</v>
      </c>
      <c r="E103" s="204">
        <v>2</v>
      </c>
      <c r="F103" s="204" t="s">
        <v>2158</v>
      </c>
      <c r="G103" s="204" t="s">
        <v>1520</v>
      </c>
      <c r="H103" s="204" t="s">
        <v>2069</v>
      </c>
      <c r="I103" s="16" t="s">
        <v>130</v>
      </c>
      <c r="J103" s="16" t="s">
        <v>2279</v>
      </c>
      <c r="K103" s="194" t="s">
        <v>2104</v>
      </c>
      <c r="L103" s="200">
        <f t="shared" si="3"/>
        <v>0</v>
      </c>
    </row>
    <row r="104" spans="1:12" ht="15" customHeight="1" x14ac:dyDescent="0.25">
      <c r="A104" s="16">
        <v>101100</v>
      </c>
      <c r="B104" s="16" t="s">
        <v>2237</v>
      </c>
      <c r="C104" s="16" t="s">
        <v>2238</v>
      </c>
      <c r="D104" s="16" t="s">
        <v>130</v>
      </c>
      <c r="E104" s="16">
        <v>1</v>
      </c>
      <c r="F104" s="16" t="s">
        <v>2158</v>
      </c>
      <c r="G104" s="16" t="s">
        <v>1520</v>
      </c>
      <c r="H104" s="201" t="s">
        <v>2074</v>
      </c>
      <c r="I104" s="202" t="s">
        <v>2075</v>
      </c>
      <c r="J104" s="16" t="s">
        <v>2181</v>
      </c>
      <c r="L104" s="200">
        <f t="shared" si="3"/>
        <v>0</v>
      </c>
    </row>
    <row r="105" spans="1:12" ht="15" customHeight="1" x14ac:dyDescent="0.25">
      <c r="A105" s="16">
        <v>101100</v>
      </c>
      <c r="B105" s="16" t="s">
        <v>2280</v>
      </c>
      <c r="C105" s="16" t="s">
        <v>2281</v>
      </c>
      <c r="D105" s="16" t="s">
        <v>2067</v>
      </c>
      <c r="E105" s="16">
        <v>1</v>
      </c>
      <c r="F105" s="16" t="s">
        <v>2162</v>
      </c>
      <c r="G105" s="16" t="s">
        <v>1520</v>
      </c>
      <c r="H105" s="201" t="s">
        <v>2074</v>
      </c>
      <c r="I105" s="202" t="s">
        <v>2075</v>
      </c>
      <c r="J105" s="16" t="s">
        <v>2282</v>
      </c>
      <c r="L105" s="200">
        <f t="shared" si="3"/>
        <v>0</v>
      </c>
    </row>
    <row r="106" spans="1:12" ht="15" customHeight="1" x14ac:dyDescent="0.25">
      <c r="A106" s="16">
        <v>110429</v>
      </c>
      <c r="B106" s="16" t="s">
        <v>2237</v>
      </c>
      <c r="C106" s="16" t="s">
        <v>2238</v>
      </c>
      <c r="D106" s="16" t="s">
        <v>130</v>
      </c>
      <c r="E106" s="16">
        <v>1</v>
      </c>
      <c r="F106" s="16" t="s">
        <v>2158</v>
      </c>
      <c r="G106" s="16" t="s">
        <v>1520</v>
      </c>
      <c r="H106" s="201" t="s">
        <v>2074</v>
      </c>
      <c r="I106" s="202" t="s">
        <v>2075</v>
      </c>
      <c r="J106" s="16" t="s">
        <v>2181</v>
      </c>
      <c r="L106" s="200">
        <f t="shared" si="3"/>
        <v>0</v>
      </c>
    </row>
    <row r="107" spans="1:12" ht="15" customHeight="1" x14ac:dyDescent="0.25">
      <c r="A107" s="16">
        <v>147778</v>
      </c>
      <c r="B107" s="16" t="s">
        <v>2283</v>
      </c>
      <c r="C107" s="16" t="s">
        <v>2284</v>
      </c>
      <c r="D107" s="16" t="s">
        <v>130</v>
      </c>
      <c r="E107" s="16">
        <v>1</v>
      </c>
      <c r="F107" s="16" t="s">
        <v>2158</v>
      </c>
      <c r="G107" s="16" t="s">
        <v>1520</v>
      </c>
      <c r="H107" s="201" t="s">
        <v>2074</v>
      </c>
      <c r="I107" s="202" t="s">
        <v>2075</v>
      </c>
      <c r="J107" s="16" t="s">
        <v>2209</v>
      </c>
      <c r="L107" s="200">
        <f t="shared" si="3"/>
        <v>0</v>
      </c>
    </row>
    <row r="108" spans="1:12" ht="15" customHeight="1" x14ac:dyDescent="0.25"/>
  </sheetData>
  <pageMargins left="0.75" right="0.75" top="1" bottom="1" header="0.511811023622047" footer="0.511811023622047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8"/>
  <sheetViews>
    <sheetView zoomScaleNormal="100" workbookViewId="0">
      <pane ySplit="4" topLeftCell="A5" activePane="bottomLeft" state="frozen"/>
      <selection pane="bottomLeft" activeCell="E10" sqref="E10"/>
    </sheetView>
  </sheetViews>
  <sheetFormatPr defaultColWidth="8.7109375" defaultRowHeight="15" x14ac:dyDescent="0.25"/>
  <cols>
    <col min="1" max="1" width="10" customWidth="1"/>
    <col min="2" max="2" width="32" customWidth="1"/>
    <col min="3" max="3" width="14" customWidth="1"/>
    <col min="4" max="4" width="40" customWidth="1"/>
    <col min="5" max="5" width="12" customWidth="1"/>
    <col min="6" max="7" width="9" customWidth="1"/>
    <col min="8" max="8" width="10" customWidth="1"/>
    <col min="9" max="9" width="48" customWidth="1"/>
    <col min="10" max="10" width="10" customWidth="1"/>
  </cols>
  <sheetData>
    <row r="1" spans="1:10" ht="15.75" customHeight="1" x14ac:dyDescent="0.25">
      <c r="A1" s="206" t="s">
        <v>2285</v>
      </c>
    </row>
    <row r="2" spans="1:10" ht="15" customHeight="1" x14ac:dyDescent="0.25">
      <c r="A2" s="14" t="s">
        <v>2286</v>
      </c>
    </row>
    <row r="4" spans="1:10" ht="24.75" customHeight="1" x14ac:dyDescent="0.25">
      <c r="A4" s="207" t="s">
        <v>1487</v>
      </c>
      <c r="B4" s="207" t="s">
        <v>50</v>
      </c>
      <c r="C4" s="207" t="s">
        <v>691</v>
      </c>
      <c r="D4" s="207" t="s">
        <v>1532</v>
      </c>
      <c r="E4" s="207" t="s">
        <v>2287</v>
      </c>
      <c r="F4" s="207" t="s">
        <v>1535</v>
      </c>
      <c r="G4" s="207" t="s">
        <v>17</v>
      </c>
      <c r="H4" s="207" t="s">
        <v>2288</v>
      </c>
      <c r="I4" s="207" t="s">
        <v>2059</v>
      </c>
      <c r="J4" s="207" t="s">
        <v>52</v>
      </c>
    </row>
    <row r="5" spans="1:10" ht="15" customHeight="1" x14ac:dyDescent="0.25">
      <c r="A5" s="30" t="s">
        <v>438</v>
      </c>
      <c r="B5" s="30" t="s">
        <v>83</v>
      </c>
      <c r="C5" s="30" t="s">
        <v>2065</v>
      </c>
      <c r="D5" s="30" t="s">
        <v>2066</v>
      </c>
      <c r="E5" s="30" t="s">
        <v>2067</v>
      </c>
      <c r="F5" s="30">
        <v>1</v>
      </c>
      <c r="G5" s="30">
        <v>119</v>
      </c>
      <c r="H5" s="30">
        <f t="shared" ref="H5:H36" si="0">F5*G5</f>
        <v>119</v>
      </c>
      <c r="I5" s="30" t="s">
        <v>2068</v>
      </c>
      <c r="J5" s="30" t="s">
        <v>85</v>
      </c>
    </row>
    <row r="6" spans="1:10" ht="15" customHeight="1" x14ac:dyDescent="0.25">
      <c r="A6" s="30" t="s">
        <v>438</v>
      </c>
      <c r="B6" s="30" t="s">
        <v>83</v>
      </c>
      <c r="C6" s="30" t="s">
        <v>2077</v>
      </c>
      <c r="D6" s="30" t="s">
        <v>2078</v>
      </c>
      <c r="E6" s="30" t="s">
        <v>2067</v>
      </c>
      <c r="F6" s="30">
        <v>1</v>
      </c>
      <c r="G6" s="30">
        <v>119</v>
      </c>
      <c r="H6" s="30">
        <f t="shared" si="0"/>
        <v>119</v>
      </c>
      <c r="I6" s="30" t="s">
        <v>2068</v>
      </c>
      <c r="J6" s="30" t="s">
        <v>85</v>
      </c>
    </row>
    <row r="7" spans="1:10" ht="15" customHeight="1" x14ac:dyDescent="0.25">
      <c r="A7" s="30" t="s">
        <v>438</v>
      </c>
      <c r="B7" s="30" t="s">
        <v>83</v>
      </c>
      <c r="C7" s="30" t="s">
        <v>869</v>
      </c>
      <c r="D7" s="30" t="s">
        <v>870</v>
      </c>
      <c r="E7" s="30" t="s">
        <v>2067</v>
      </c>
      <c r="F7" s="30">
        <v>2</v>
      </c>
      <c r="G7" s="30">
        <v>119</v>
      </c>
      <c r="H7" s="30">
        <f t="shared" si="0"/>
        <v>238</v>
      </c>
      <c r="I7" s="30" t="s">
        <v>2068</v>
      </c>
      <c r="J7" s="30" t="s">
        <v>85</v>
      </c>
    </row>
    <row r="8" spans="1:10" ht="15" customHeight="1" x14ac:dyDescent="0.25">
      <c r="A8" s="30" t="s">
        <v>438</v>
      </c>
      <c r="B8" s="30" t="s">
        <v>83</v>
      </c>
      <c r="C8" s="30" t="s">
        <v>2080</v>
      </c>
      <c r="D8" s="30" t="s">
        <v>2081</v>
      </c>
      <c r="E8" s="30" t="s">
        <v>2067</v>
      </c>
      <c r="F8" s="30">
        <v>2</v>
      </c>
      <c r="G8" s="30">
        <v>119</v>
      </c>
      <c r="H8" s="30">
        <f t="shared" si="0"/>
        <v>238</v>
      </c>
      <c r="I8" s="30" t="s">
        <v>2068</v>
      </c>
      <c r="J8" s="30" t="s">
        <v>85</v>
      </c>
    </row>
    <row r="9" spans="1:10" ht="15" customHeight="1" x14ac:dyDescent="0.25">
      <c r="A9" s="30" t="s">
        <v>438</v>
      </c>
      <c r="B9" s="30" t="s">
        <v>83</v>
      </c>
      <c r="C9" s="30" t="s">
        <v>2084</v>
      </c>
      <c r="D9" s="30" t="s">
        <v>2085</v>
      </c>
      <c r="E9" s="30" t="s">
        <v>2086</v>
      </c>
      <c r="F9" s="30">
        <v>40</v>
      </c>
      <c r="G9" s="30">
        <v>119</v>
      </c>
      <c r="H9" s="30">
        <f t="shared" si="0"/>
        <v>4760</v>
      </c>
      <c r="I9" s="30" t="s">
        <v>2087</v>
      </c>
      <c r="J9" s="30" t="s">
        <v>85</v>
      </c>
    </row>
    <row r="10" spans="1:10" ht="15" customHeight="1" x14ac:dyDescent="0.25">
      <c r="A10" s="30" t="s">
        <v>438</v>
      </c>
      <c r="B10" s="30" t="s">
        <v>83</v>
      </c>
      <c r="C10" s="30" t="s">
        <v>2089</v>
      </c>
      <c r="D10" s="30" t="s">
        <v>2090</v>
      </c>
      <c r="E10" s="30" t="s">
        <v>2067</v>
      </c>
      <c r="F10" s="30">
        <v>2</v>
      </c>
      <c r="G10" s="30">
        <v>119</v>
      </c>
      <c r="H10" s="30">
        <f t="shared" si="0"/>
        <v>238</v>
      </c>
      <c r="I10" s="30" t="s">
        <v>2068</v>
      </c>
      <c r="J10" s="30" t="s">
        <v>85</v>
      </c>
    </row>
    <row r="11" spans="1:10" ht="15" customHeight="1" x14ac:dyDescent="0.25">
      <c r="A11" s="30" t="s">
        <v>438</v>
      </c>
      <c r="B11" s="30" t="s">
        <v>83</v>
      </c>
      <c r="C11" s="30" t="s">
        <v>2092</v>
      </c>
      <c r="D11" s="30" t="s">
        <v>2093</v>
      </c>
      <c r="E11" s="30" t="s">
        <v>2067</v>
      </c>
      <c r="F11" s="30">
        <v>2</v>
      </c>
      <c r="G11" s="30">
        <v>119</v>
      </c>
      <c r="H11" s="30">
        <f t="shared" si="0"/>
        <v>238</v>
      </c>
      <c r="I11" s="30" t="s">
        <v>2068</v>
      </c>
      <c r="J11" s="30" t="s">
        <v>85</v>
      </c>
    </row>
    <row r="12" spans="1:10" ht="15" customHeight="1" x14ac:dyDescent="0.25">
      <c r="A12" s="30" t="s">
        <v>438</v>
      </c>
      <c r="B12" s="30" t="s">
        <v>83</v>
      </c>
      <c r="C12" s="30" t="s">
        <v>2095</v>
      </c>
      <c r="D12" s="30" t="s">
        <v>2096</v>
      </c>
      <c r="E12" s="30" t="s">
        <v>2067</v>
      </c>
      <c r="F12" s="30">
        <v>8</v>
      </c>
      <c r="G12" s="30">
        <v>119</v>
      </c>
      <c r="H12" s="30">
        <f t="shared" si="0"/>
        <v>952</v>
      </c>
      <c r="I12" s="30" t="s">
        <v>2068</v>
      </c>
      <c r="J12" s="30" t="s">
        <v>85</v>
      </c>
    </row>
    <row r="13" spans="1:10" ht="15" customHeight="1" x14ac:dyDescent="0.25">
      <c r="A13" s="30" t="s">
        <v>438</v>
      </c>
      <c r="B13" s="30" t="s">
        <v>83</v>
      </c>
      <c r="C13" s="30" t="s">
        <v>2097</v>
      </c>
      <c r="D13" s="30" t="s">
        <v>2098</v>
      </c>
      <c r="E13" s="30" t="s">
        <v>2067</v>
      </c>
      <c r="F13" s="30">
        <v>4</v>
      </c>
      <c r="G13" s="30">
        <v>119</v>
      </c>
      <c r="H13" s="30">
        <f t="shared" si="0"/>
        <v>476</v>
      </c>
      <c r="I13" s="30" t="s">
        <v>2068</v>
      </c>
      <c r="J13" s="30" t="s">
        <v>85</v>
      </c>
    </row>
    <row r="14" spans="1:10" ht="15" customHeight="1" x14ac:dyDescent="0.25">
      <c r="A14" s="30" t="s">
        <v>438</v>
      </c>
      <c r="B14" s="30" t="s">
        <v>83</v>
      </c>
      <c r="C14" s="30" t="s">
        <v>2099</v>
      </c>
      <c r="D14" s="30" t="s">
        <v>2100</v>
      </c>
      <c r="E14" s="30" t="s">
        <v>2067</v>
      </c>
      <c r="F14" s="30">
        <v>4</v>
      </c>
      <c r="G14" s="30">
        <v>119</v>
      </c>
      <c r="H14" s="30">
        <f t="shared" si="0"/>
        <v>476</v>
      </c>
      <c r="I14" s="30" t="s">
        <v>2068</v>
      </c>
      <c r="J14" s="30" t="s">
        <v>85</v>
      </c>
    </row>
    <row r="15" spans="1:10" ht="15" customHeight="1" x14ac:dyDescent="0.25">
      <c r="A15" s="30" t="s">
        <v>438</v>
      </c>
      <c r="B15" s="30" t="s">
        <v>83</v>
      </c>
      <c r="C15" s="30" t="s">
        <v>2101</v>
      </c>
      <c r="D15" s="30" t="s">
        <v>2102</v>
      </c>
      <c r="E15" s="30" t="s">
        <v>2067</v>
      </c>
      <c r="F15" s="30">
        <v>4</v>
      </c>
      <c r="G15" s="30">
        <v>119</v>
      </c>
      <c r="H15" s="30">
        <f t="shared" si="0"/>
        <v>476</v>
      </c>
      <c r="I15" s="30" t="s">
        <v>2068</v>
      </c>
      <c r="J15" s="30" t="s">
        <v>85</v>
      </c>
    </row>
    <row r="16" spans="1:10" ht="15" customHeight="1" x14ac:dyDescent="0.25">
      <c r="A16" s="30" t="s">
        <v>438</v>
      </c>
      <c r="B16" s="30" t="s">
        <v>83</v>
      </c>
      <c r="C16" s="30" t="s">
        <v>2105</v>
      </c>
      <c r="D16" s="30" t="s">
        <v>2106</v>
      </c>
      <c r="E16" s="30" t="s">
        <v>2067</v>
      </c>
      <c r="F16" s="30">
        <v>4</v>
      </c>
      <c r="G16" s="30">
        <v>119</v>
      </c>
      <c r="H16" s="30">
        <f t="shared" si="0"/>
        <v>476</v>
      </c>
      <c r="I16" s="30" t="s">
        <v>2068</v>
      </c>
      <c r="J16" s="30" t="s">
        <v>85</v>
      </c>
    </row>
    <row r="17" spans="1:10" ht="15" customHeight="1" x14ac:dyDescent="0.25">
      <c r="A17" s="30" t="s">
        <v>443</v>
      </c>
      <c r="B17" s="30" t="s">
        <v>92</v>
      </c>
      <c r="C17" s="30" t="s">
        <v>2231</v>
      </c>
      <c r="D17" s="30" t="s">
        <v>2232</v>
      </c>
      <c r="E17" s="30" t="s">
        <v>130</v>
      </c>
      <c r="F17" s="30">
        <v>1</v>
      </c>
      <c r="G17" s="30">
        <v>652</v>
      </c>
      <c r="H17" s="30">
        <f t="shared" si="0"/>
        <v>652</v>
      </c>
      <c r="I17" s="30" t="s">
        <v>2158</v>
      </c>
      <c r="J17" s="30" t="s">
        <v>1520</v>
      </c>
    </row>
    <row r="18" spans="1:10" ht="15" customHeight="1" x14ac:dyDescent="0.25">
      <c r="A18" s="30" t="s">
        <v>97</v>
      </c>
      <c r="B18" s="30" t="s">
        <v>98</v>
      </c>
      <c r="C18" s="30" t="s">
        <v>2108</v>
      </c>
      <c r="D18" s="30" t="s">
        <v>2109</v>
      </c>
      <c r="E18" s="30" t="s">
        <v>130</v>
      </c>
      <c r="F18" s="30">
        <v>8</v>
      </c>
      <c r="G18" s="30">
        <v>56</v>
      </c>
      <c r="H18" s="30">
        <f t="shared" si="0"/>
        <v>448</v>
      </c>
      <c r="I18" s="30" t="s">
        <v>2068</v>
      </c>
      <c r="J18" s="30" t="s">
        <v>85</v>
      </c>
    </row>
    <row r="19" spans="1:10" ht="15" customHeight="1" x14ac:dyDescent="0.25">
      <c r="A19" s="30" t="s">
        <v>97</v>
      </c>
      <c r="B19" s="30" t="s">
        <v>98</v>
      </c>
      <c r="C19" s="30" t="s">
        <v>2111</v>
      </c>
      <c r="D19" s="30" t="s">
        <v>2112</v>
      </c>
      <c r="E19" s="30" t="s">
        <v>130</v>
      </c>
      <c r="F19" s="30">
        <v>3</v>
      </c>
      <c r="G19" s="30">
        <v>56</v>
      </c>
      <c r="H19" s="30">
        <f t="shared" si="0"/>
        <v>168</v>
      </c>
      <c r="I19" s="30" t="s">
        <v>2068</v>
      </c>
      <c r="J19" s="30" t="s">
        <v>85</v>
      </c>
    </row>
    <row r="20" spans="1:10" ht="15" customHeight="1" x14ac:dyDescent="0.25">
      <c r="A20" s="30" t="s">
        <v>457</v>
      </c>
      <c r="B20" s="30" t="s">
        <v>121</v>
      </c>
      <c r="C20" s="30" t="s">
        <v>2202</v>
      </c>
      <c r="D20" s="30" t="s">
        <v>2203</v>
      </c>
      <c r="E20" s="30" t="s">
        <v>2204</v>
      </c>
      <c r="F20" s="30">
        <v>1</v>
      </c>
      <c r="G20" s="30">
        <v>142</v>
      </c>
      <c r="H20" s="30">
        <f t="shared" si="0"/>
        <v>142</v>
      </c>
      <c r="I20" s="30" t="s">
        <v>2190</v>
      </c>
      <c r="J20" s="30" t="s">
        <v>1520</v>
      </c>
    </row>
    <row r="21" spans="1:10" ht="15" customHeight="1" x14ac:dyDescent="0.25">
      <c r="A21" s="30" t="s">
        <v>458</v>
      </c>
      <c r="B21" s="30" t="s">
        <v>123</v>
      </c>
      <c r="C21" s="30" t="s">
        <v>2215</v>
      </c>
      <c r="D21" s="30" t="s">
        <v>2216</v>
      </c>
      <c r="E21" s="30" t="s">
        <v>2067</v>
      </c>
      <c r="F21" s="30">
        <v>1</v>
      </c>
      <c r="G21" s="30">
        <v>312</v>
      </c>
      <c r="H21" s="30">
        <f t="shared" si="0"/>
        <v>312</v>
      </c>
      <c r="I21" s="30" t="s">
        <v>2162</v>
      </c>
      <c r="J21" s="30" t="s">
        <v>1520</v>
      </c>
    </row>
    <row r="22" spans="1:10" ht="15" customHeight="1" x14ac:dyDescent="0.25">
      <c r="A22" s="30" t="s">
        <v>461</v>
      </c>
      <c r="B22" s="30" t="s">
        <v>129</v>
      </c>
      <c r="C22" s="30" t="s">
        <v>814</v>
      </c>
      <c r="D22" s="30" t="s">
        <v>815</v>
      </c>
      <c r="E22" s="30" t="s">
        <v>130</v>
      </c>
      <c r="F22" s="30">
        <v>1</v>
      </c>
      <c r="G22" s="30">
        <v>53</v>
      </c>
      <c r="H22" s="30">
        <f t="shared" si="0"/>
        <v>53</v>
      </c>
      <c r="I22" s="30" t="s">
        <v>2158</v>
      </c>
      <c r="J22" s="30" t="s">
        <v>1520</v>
      </c>
    </row>
    <row r="23" spans="1:10" ht="15" customHeight="1" x14ac:dyDescent="0.25">
      <c r="A23" s="30" t="s">
        <v>461</v>
      </c>
      <c r="B23" s="30" t="s">
        <v>129</v>
      </c>
      <c r="C23" s="30" t="s">
        <v>816</v>
      </c>
      <c r="D23" s="30" t="s">
        <v>817</v>
      </c>
      <c r="E23" s="30" t="s">
        <v>130</v>
      </c>
      <c r="F23" s="30">
        <v>6</v>
      </c>
      <c r="G23" s="30">
        <v>53</v>
      </c>
      <c r="H23" s="30">
        <f t="shared" si="0"/>
        <v>318</v>
      </c>
      <c r="I23" s="30" t="s">
        <v>2158</v>
      </c>
      <c r="J23" s="30" t="s">
        <v>1520</v>
      </c>
    </row>
    <row r="24" spans="1:10" ht="15" customHeight="1" x14ac:dyDescent="0.25">
      <c r="A24" s="30" t="s">
        <v>462</v>
      </c>
      <c r="B24" s="30" t="s">
        <v>133</v>
      </c>
      <c r="C24" s="30" t="s">
        <v>2176</v>
      </c>
      <c r="D24" s="30" t="s">
        <v>2177</v>
      </c>
      <c r="E24" s="30" t="s">
        <v>130</v>
      </c>
      <c r="F24" s="30">
        <v>1</v>
      </c>
      <c r="G24" s="30">
        <v>98</v>
      </c>
      <c r="H24" s="30">
        <f t="shared" si="0"/>
        <v>98</v>
      </c>
      <c r="I24" s="30" t="s">
        <v>2158</v>
      </c>
      <c r="J24" s="30" t="s">
        <v>1520</v>
      </c>
    </row>
    <row r="25" spans="1:10" ht="15" customHeight="1" x14ac:dyDescent="0.25">
      <c r="A25" s="30" t="s">
        <v>467</v>
      </c>
      <c r="B25" s="30" t="s">
        <v>141</v>
      </c>
      <c r="C25" s="30" t="s">
        <v>2122</v>
      </c>
      <c r="D25" s="30" t="s">
        <v>2123</v>
      </c>
      <c r="E25" s="30" t="s">
        <v>130</v>
      </c>
      <c r="F25" s="30">
        <v>4</v>
      </c>
      <c r="G25" s="30">
        <v>13</v>
      </c>
      <c r="H25" s="30">
        <f t="shared" si="0"/>
        <v>52</v>
      </c>
      <c r="I25" s="30" t="s">
        <v>2068</v>
      </c>
      <c r="J25" s="30" t="s">
        <v>85</v>
      </c>
    </row>
    <row r="26" spans="1:10" ht="15" customHeight="1" x14ac:dyDescent="0.25">
      <c r="A26" s="30" t="s">
        <v>467</v>
      </c>
      <c r="B26" s="30" t="s">
        <v>141</v>
      </c>
      <c r="C26" s="30" t="s">
        <v>2115</v>
      </c>
      <c r="D26" s="30" t="s">
        <v>2116</v>
      </c>
      <c r="E26" s="30" t="s">
        <v>130</v>
      </c>
      <c r="F26" s="30">
        <v>7</v>
      </c>
      <c r="G26" s="30">
        <v>13</v>
      </c>
      <c r="H26" s="30">
        <f t="shared" si="0"/>
        <v>91</v>
      </c>
      <c r="I26" s="30" t="s">
        <v>2068</v>
      </c>
      <c r="J26" s="30" t="s">
        <v>85</v>
      </c>
    </row>
    <row r="27" spans="1:10" ht="15" customHeight="1" x14ac:dyDescent="0.25">
      <c r="A27" s="30" t="s">
        <v>468</v>
      </c>
      <c r="B27" s="30" t="s">
        <v>144</v>
      </c>
      <c r="C27" s="30" t="s">
        <v>974</v>
      </c>
      <c r="D27" s="30" t="s">
        <v>975</v>
      </c>
      <c r="E27" s="30" t="s">
        <v>130</v>
      </c>
      <c r="F27" s="30">
        <v>1</v>
      </c>
      <c r="G27" s="30">
        <v>61</v>
      </c>
      <c r="H27" s="30">
        <f t="shared" si="0"/>
        <v>61</v>
      </c>
      <c r="I27" s="30" t="s">
        <v>2158</v>
      </c>
      <c r="J27" s="30" t="s">
        <v>1520</v>
      </c>
    </row>
    <row r="28" spans="1:10" ht="15" customHeight="1" x14ac:dyDescent="0.25">
      <c r="A28" s="30" t="s">
        <v>468</v>
      </c>
      <c r="B28" s="30" t="s">
        <v>144</v>
      </c>
      <c r="C28" s="30" t="s">
        <v>976</v>
      </c>
      <c r="D28" s="30" t="s">
        <v>977</v>
      </c>
      <c r="E28" s="30" t="s">
        <v>130</v>
      </c>
      <c r="F28" s="30">
        <v>1</v>
      </c>
      <c r="G28" s="30">
        <v>61</v>
      </c>
      <c r="H28" s="30">
        <f t="shared" si="0"/>
        <v>61</v>
      </c>
      <c r="I28" s="30" t="s">
        <v>2158</v>
      </c>
      <c r="J28" s="30" t="s">
        <v>1520</v>
      </c>
    </row>
    <row r="29" spans="1:10" ht="15" customHeight="1" x14ac:dyDescent="0.25">
      <c r="A29" s="30" t="s">
        <v>480</v>
      </c>
      <c r="B29" s="30" t="s">
        <v>160</v>
      </c>
      <c r="C29" s="30" t="s">
        <v>2148</v>
      </c>
      <c r="D29" s="30" t="s">
        <v>2149</v>
      </c>
      <c r="E29" s="30" t="s">
        <v>130</v>
      </c>
      <c r="F29" s="30">
        <v>2</v>
      </c>
      <c r="G29" s="30">
        <v>93</v>
      </c>
      <c r="H29" s="30">
        <f t="shared" si="0"/>
        <v>186</v>
      </c>
      <c r="I29" s="30" t="s">
        <v>2152</v>
      </c>
      <c r="J29" s="30" t="s">
        <v>1520</v>
      </c>
    </row>
    <row r="30" spans="1:10" ht="15" customHeight="1" x14ac:dyDescent="0.25">
      <c r="A30" s="30" t="s">
        <v>483</v>
      </c>
      <c r="B30" s="30" t="s">
        <v>164</v>
      </c>
      <c r="C30" s="30" t="s">
        <v>2248</v>
      </c>
      <c r="D30" s="30" t="s">
        <v>2249</v>
      </c>
      <c r="E30" s="30" t="s">
        <v>2250</v>
      </c>
      <c r="F30" s="30">
        <v>1</v>
      </c>
      <c r="G30" s="30">
        <v>174</v>
      </c>
      <c r="H30" s="30">
        <f t="shared" si="0"/>
        <v>174</v>
      </c>
      <c r="I30" s="30" t="s">
        <v>2190</v>
      </c>
      <c r="J30" s="30" t="s">
        <v>1520</v>
      </c>
    </row>
    <row r="31" spans="1:10" ht="15" customHeight="1" x14ac:dyDescent="0.25">
      <c r="A31" s="30" t="s">
        <v>483</v>
      </c>
      <c r="B31" s="30" t="s">
        <v>164</v>
      </c>
      <c r="C31" s="30" t="s">
        <v>2255</v>
      </c>
      <c r="D31" s="30" t="s">
        <v>2256</v>
      </c>
      <c r="E31" s="30" t="s">
        <v>130</v>
      </c>
      <c r="F31" s="30">
        <v>1</v>
      </c>
      <c r="G31" s="30">
        <v>174</v>
      </c>
      <c r="H31" s="30">
        <f t="shared" si="0"/>
        <v>174</v>
      </c>
      <c r="I31" s="30" t="s">
        <v>2158</v>
      </c>
      <c r="J31" s="30" t="s">
        <v>1520</v>
      </c>
    </row>
    <row r="32" spans="1:10" ht="15" customHeight="1" x14ac:dyDescent="0.25">
      <c r="A32" s="30" t="s">
        <v>487</v>
      </c>
      <c r="B32" s="30" t="s">
        <v>169</v>
      </c>
      <c r="C32" s="30" t="s">
        <v>2179</v>
      </c>
      <c r="D32" s="30" t="s">
        <v>2180</v>
      </c>
      <c r="E32" s="30" t="s">
        <v>130</v>
      </c>
      <c r="F32" s="30">
        <v>1</v>
      </c>
      <c r="G32" s="30">
        <v>37</v>
      </c>
      <c r="H32" s="30">
        <f t="shared" si="0"/>
        <v>37</v>
      </c>
      <c r="I32" s="30" t="s">
        <v>2158</v>
      </c>
      <c r="J32" s="30" t="s">
        <v>1520</v>
      </c>
    </row>
    <row r="33" spans="1:10" ht="15" customHeight="1" x14ac:dyDescent="0.25">
      <c r="A33" s="30" t="s">
        <v>488</v>
      </c>
      <c r="B33" s="30" t="s">
        <v>171</v>
      </c>
      <c r="C33" s="30" t="s">
        <v>2179</v>
      </c>
      <c r="D33" s="30" t="s">
        <v>2180</v>
      </c>
      <c r="E33" s="30" t="s">
        <v>130</v>
      </c>
      <c r="F33" s="30">
        <v>1</v>
      </c>
      <c r="G33" s="30">
        <v>37</v>
      </c>
      <c r="H33" s="30">
        <f t="shared" si="0"/>
        <v>37</v>
      </c>
      <c r="I33" s="30" t="s">
        <v>2158</v>
      </c>
      <c r="J33" s="30" t="s">
        <v>1520</v>
      </c>
    </row>
    <row r="34" spans="1:10" ht="15" customHeight="1" x14ac:dyDescent="0.25">
      <c r="A34" s="30" t="s">
        <v>489</v>
      </c>
      <c r="B34" s="30" t="s">
        <v>172</v>
      </c>
      <c r="C34" s="30" t="s">
        <v>2185</v>
      </c>
      <c r="D34" s="30" t="s">
        <v>2186</v>
      </c>
      <c r="E34" s="30" t="s">
        <v>130</v>
      </c>
      <c r="F34" s="30">
        <v>1</v>
      </c>
      <c r="G34" s="30">
        <v>29</v>
      </c>
      <c r="H34" s="30">
        <f t="shared" si="0"/>
        <v>29</v>
      </c>
      <c r="I34" s="30" t="s">
        <v>2158</v>
      </c>
      <c r="J34" s="30" t="s">
        <v>1520</v>
      </c>
    </row>
    <row r="35" spans="1:10" ht="15" customHeight="1" x14ac:dyDescent="0.25">
      <c r="A35" s="30" t="s">
        <v>493</v>
      </c>
      <c r="B35" s="30" t="s">
        <v>176</v>
      </c>
      <c r="C35" s="30" t="s">
        <v>978</v>
      </c>
      <c r="D35" s="30" t="s">
        <v>979</v>
      </c>
      <c r="E35" s="30" t="s">
        <v>130</v>
      </c>
      <c r="F35" s="30">
        <v>1</v>
      </c>
      <c r="G35" s="30">
        <v>61</v>
      </c>
      <c r="H35" s="30">
        <f t="shared" si="0"/>
        <v>61</v>
      </c>
      <c r="I35" s="30" t="s">
        <v>2158</v>
      </c>
      <c r="J35" s="30" t="s">
        <v>1520</v>
      </c>
    </row>
    <row r="36" spans="1:10" ht="15" customHeight="1" x14ac:dyDescent="0.25">
      <c r="A36" s="30" t="s">
        <v>495</v>
      </c>
      <c r="B36" s="30" t="s">
        <v>183</v>
      </c>
      <c r="C36" s="30" t="s">
        <v>2108</v>
      </c>
      <c r="D36" s="30" t="s">
        <v>2147</v>
      </c>
      <c r="E36" s="30" t="s">
        <v>130</v>
      </c>
      <c r="F36" s="30">
        <v>1</v>
      </c>
      <c r="G36" s="30">
        <v>13</v>
      </c>
      <c r="H36" s="30">
        <f t="shared" si="0"/>
        <v>13</v>
      </c>
      <c r="I36" s="30" t="s">
        <v>2068</v>
      </c>
      <c r="J36" s="30" t="s">
        <v>85</v>
      </c>
    </row>
    <row r="37" spans="1:10" ht="15" customHeight="1" x14ac:dyDescent="0.25">
      <c r="A37" s="30" t="s">
        <v>495</v>
      </c>
      <c r="B37" s="30" t="s">
        <v>183</v>
      </c>
      <c r="C37" s="30" t="s">
        <v>2148</v>
      </c>
      <c r="D37" s="30" t="s">
        <v>2149</v>
      </c>
      <c r="E37" s="30" t="s">
        <v>130</v>
      </c>
      <c r="F37" s="30">
        <v>2</v>
      </c>
      <c r="G37" s="30">
        <v>13</v>
      </c>
      <c r="H37" s="30">
        <f t="shared" ref="H37:H68" si="1">F37*G37</f>
        <v>26</v>
      </c>
      <c r="I37" s="30" t="s">
        <v>2068</v>
      </c>
      <c r="J37" s="30" t="s">
        <v>85</v>
      </c>
    </row>
    <row r="38" spans="1:10" ht="15" customHeight="1" x14ac:dyDescent="0.25">
      <c r="A38" s="30" t="s">
        <v>500</v>
      </c>
      <c r="B38" s="30" t="s">
        <v>189</v>
      </c>
      <c r="C38" s="30" t="s">
        <v>2271</v>
      </c>
      <c r="D38" s="30" t="s">
        <v>2272</v>
      </c>
      <c r="E38" s="30" t="s">
        <v>130</v>
      </c>
      <c r="F38" s="30">
        <v>1</v>
      </c>
      <c r="G38" s="30">
        <v>55</v>
      </c>
      <c r="H38" s="30">
        <f t="shared" si="1"/>
        <v>55</v>
      </c>
      <c r="I38" s="30" t="s">
        <v>2158</v>
      </c>
      <c r="J38" s="30" t="s">
        <v>1520</v>
      </c>
    </row>
    <row r="39" spans="1:10" ht="15" customHeight="1" x14ac:dyDescent="0.25">
      <c r="A39" s="30" t="s">
        <v>508</v>
      </c>
      <c r="B39" s="30" t="s">
        <v>200</v>
      </c>
      <c r="C39" s="30" t="s">
        <v>2269</v>
      </c>
      <c r="D39" s="30" t="s">
        <v>2270</v>
      </c>
      <c r="E39" s="30" t="s">
        <v>2204</v>
      </c>
      <c r="F39" s="30">
        <v>1</v>
      </c>
      <c r="G39" s="30">
        <v>56</v>
      </c>
      <c r="H39" s="30">
        <f t="shared" si="1"/>
        <v>56</v>
      </c>
      <c r="I39" s="30" t="s">
        <v>2190</v>
      </c>
      <c r="J39" s="30" t="s">
        <v>1520</v>
      </c>
    </row>
    <row r="40" spans="1:10" ht="15" customHeight="1" x14ac:dyDescent="0.25">
      <c r="A40" s="30" t="s">
        <v>510</v>
      </c>
      <c r="B40" s="30" t="s">
        <v>203</v>
      </c>
      <c r="C40" s="30" t="s">
        <v>2122</v>
      </c>
      <c r="D40" s="30" t="s">
        <v>2123</v>
      </c>
      <c r="E40" s="30" t="s">
        <v>130</v>
      </c>
      <c r="F40" s="30">
        <v>3</v>
      </c>
      <c r="G40" s="30">
        <v>5</v>
      </c>
      <c r="H40" s="30">
        <f t="shared" si="1"/>
        <v>15</v>
      </c>
      <c r="I40" s="30" t="s">
        <v>2068</v>
      </c>
      <c r="J40" s="30" t="s">
        <v>85</v>
      </c>
    </row>
    <row r="41" spans="1:10" ht="15" customHeight="1" x14ac:dyDescent="0.25">
      <c r="A41" s="30" t="s">
        <v>517</v>
      </c>
      <c r="B41" s="30" t="s">
        <v>211</v>
      </c>
      <c r="C41" s="30" t="s">
        <v>2215</v>
      </c>
      <c r="D41" s="30" t="s">
        <v>2216</v>
      </c>
      <c r="E41" s="30" t="s">
        <v>2067</v>
      </c>
      <c r="F41" s="30">
        <v>1</v>
      </c>
      <c r="G41" s="30">
        <v>114</v>
      </c>
      <c r="H41" s="30">
        <f t="shared" si="1"/>
        <v>114</v>
      </c>
      <c r="I41" s="30" t="s">
        <v>2162</v>
      </c>
      <c r="J41" s="30" t="s">
        <v>1520</v>
      </c>
    </row>
    <row r="42" spans="1:10" ht="15" customHeight="1" x14ac:dyDescent="0.25">
      <c r="A42" s="30" t="s">
        <v>523</v>
      </c>
      <c r="B42" s="30" t="s">
        <v>217</v>
      </c>
      <c r="C42" s="30" t="s">
        <v>2207</v>
      </c>
      <c r="D42" s="30" t="s">
        <v>2208</v>
      </c>
      <c r="E42" s="30" t="s">
        <v>130</v>
      </c>
      <c r="F42" s="30">
        <v>1</v>
      </c>
      <c r="G42" s="30">
        <v>13</v>
      </c>
      <c r="H42" s="30">
        <f t="shared" si="1"/>
        <v>13</v>
      </c>
      <c r="I42" s="30" t="s">
        <v>2158</v>
      </c>
      <c r="J42" s="30" t="s">
        <v>1520</v>
      </c>
    </row>
    <row r="43" spans="1:10" ht="15" customHeight="1" x14ac:dyDescent="0.25">
      <c r="A43" s="30" t="s">
        <v>523</v>
      </c>
      <c r="B43" s="30" t="s">
        <v>217</v>
      </c>
      <c r="C43" s="30" t="s">
        <v>2210</v>
      </c>
      <c r="D43" s="30" t="s">
        <v>2211</v>
      </c>
      <c r="E43" s="30" t="s">
        <v>130</v>
      </c>
      <c r="F43" s="30">
        <v>1</v>
      </c>
      <c r="G43" s="30">
        <v>13</v>
      </c>
      <c r="H43" s="30">
        <f t="shared" si="1"/>
        <v>13</v>
      </c>
      <c r="I43" s="30" t="s">
        <v>2158</v>
      </c>
      <c r="J43" s="30" t="s">
        <v>1520</v>
      </c>
    </row>
    <row r="44" spans="1:10" ht="15" customHeight="1" x14ac:dyDescent="0.25">
      <c r="A44" s="30" t="s">
        <v>531</v>
      </c>
      <c r="B44" s="30" t="s">
        <v>226</v>
      </c>
      <c r="C44" s="30" t="s">
        <v>2150</v>
      </c>
      <c r="D44" s="30" t="s">
        <v>416</v>
      </c>
      <c r="E44" s="30" t="s">
        <v>2151</v>
      </c>
      <c r="F44" s="30">
        <v>4</v>
      </c>
      <c r="G44" s="30">
        <v>16</v>
      </c>
      <c r="H44" s="30">
        <f t="shared" si="1"/>
        <v>64</v>
      </c>
      <c r="I44" s="30" t="s">
        <v>2152</v>
      </c>
      <c r="J44" s="30" t="s">
        <v>85</v>
      </c>
    </row>
    <row r="45" spans="1:10" ht="15" customHeight="1" x14ac:dyDescent="0.25">
      <c r="A45" s="30" t="s">
        <v>531</v>
      </c>
      <c r="B45" s="30" t="s">
        <v>226</v>
      </c>
      <c r="C45" s="30" t="s">
        <v>2089</v>
      </c>
      <c r="D45" s="30" t="s">
        <v>416</v>
      </c>
      <c r="E45" s="30" t="s">
        <v>2154</v>
      </c>
      <c r="F45" s="30">
        <v>4</v>
      </c>
      <c r="G45" s="30">
        <v>16</v>
      </c>
      <c r="H45" s="30">
        <f t="shared" si="1"/>
        <v>64</v>
      </c>
      <c r="I45" s="30" t="s">
        <v>2152</v>
      </c>
      <c r="J45" s="30" t="s">
        <v>85</v>
      </c>
    </row>
    <row r="46" spans="1:10" ht="15" customHeight="1" x14ac:dyDescent="0.25">
      <c r="A46" s="30" t="s">
        <v>535</v>
      </c>
      <c r="B46" s="30" t="s">
        <v>231</v>
      </c>
      <c r="C46" s="30" t="s">
        <v>2261</v>
      </c>
      <c r="D46" s="30" t="s">
        <v>2262</v>
      </c>
      <c r="E46" s="30" t="s">
        <v>130</v>
      </c>
      <c r="F46" s="30">
        <v>1</v>
      </c>
      <c r="G46" s="30">
        <v>10</v>
      </c>
      <c r="H46" s="30">
        <f t="shared" si="1"/>
        <v>10</v>
      </c>
      <c r="I46" s="30" t="s">
        <v>2158</v>
      </c>
      <c r="J46" s="30" t="s">
        <v>1520</v>
      </c>
    </row>
    <row r="47" spans="1:10" ht="15" customHeight="1" x14ac:dyDescent="0.25">
      <c r="A47" s="30" t="s">
        <v>539</v>
      </c>
      <c r="B47" s="30" t="s">
        <v>236</v>
      </c>
      <c r="C47" s="30" t="s">
        <v>2237</v>
      </c>
      <c r="D47" s="30" t="s">
        <v>2238</v>
      </c>
      <c r="E47" s="30" t="s">
        <v>130</v>
      </c>
      <c r="F47" s="30">
        <v>1</v>
      </c>
      <c r="G47" s="30">
        <v>13</v>
      </c>
      <c r="H47" s="30">
        <f t="shared" si="1"/>
        <v>13</v>
      </c>
      <c r="I47" s="30" t="s">
        <v>2158</v>
      </c>
      <c r="J47" s="30" t="s">
        <v>1520</v>
      </c>
    </row>
    <row r="48" spans="1:10" ht="15" customHeight="1" x14ac:dyDescent="0.25">
      <c r="A48" s="30" t="s">
        <v>539</v>
      </c>
      <c r="B48" s="30" t="s">
        <v>236</v>
      </c>
      <c r="C48" s="30" t="s">
        <v>2280</v>
      </c>
      <c r="D48" s="30" t="s">
        <v>2281</v>
      </c>
      <c r="E48" s="30" t="s">
        <v>2067</v>
      </c>
      <c r="F48" s="30">
        <v>1</v>
      </c>
      <c r="G48" s="30">
        <v>13</v>
      </c>
      <c r="H48" s="30">
        <f t="shared" si="1"/>
        <v>13</v>
      </c>
      <c r="I48" s="30" t="s">
        <v>2162</v>
      </c>
      <c r="J48" s="30" t="s">
        <v>1520</v>
      </c>
    </row>
    <row r="49" spans="1:10" ht="15" customHeight="1" x14ac:dyDescent="0.25">
      <c r="A49" s="30" t="s">
        <v>540</v>
      </c>
      <c r="B49" s="30" t="s">
        <v>238</v>
      </c>
      <c r="C49" s="30" t="s">
        <v>2275</v>
      </c>
      <c r="D49" s="30" t="s">
        <v>2276</v>
      </c>
      <c r="E49" s="30" t="s">
        <v>130</v>
      </c>
      <c r="F49" s="30">
        <v>1</v>
      </c>
      <c r="G49" s="30">
        <v>15</v>
      </c>
      <c r="H49" s="30">
        <f t="shared" si="1"/>
        <v>15</v>
      </c>
      <c r="I49" s="30" t="s">
        <v>2158</v>
      </c>
      <c r="J49" s="30" t="s">
        <v>1520</v>
      </c>
    </row>
    <row r="50" spans="1:10" ht="15" customHeight="1" x14ac:dyDescent="0.25">
      <c r="A50" s="30" t="s">
        <v>545</v>
      </c>
      <c r="B50" s="30" t="s">
        <v>245</v>
      </c>
      <c r="C50" s="30" t="s">
        <v>2117</v>
      </c>
      <c r="D50" s="30" t="s">
        <v>2118</v>
      </c>
      <c r="E50" s="30" t="s">
        <v>2119</v>
      </c>
      <c r="F50" s="30">
        <v>1</v>
      </c>
      <c r="G50" s="30">
        <v>1</v>
      </c>
      <c r="H50" s="30">
        <f t="shared" si="1"/>
        <v>1</v>
      </c>
      <c r="I50" s="30" t="s">
        <v>2120</v>
      </c>
      <c r="J50" s="30" t="s">
        <v>85</v>
      </c>
    </row>
    <row r="51" spans="1:10" ht="15" customHeight="1" x14ac:dyDescent="0.25">
      <c r="A51" s="30" t="s">
        <v>548</v>
      </c>
      <c r="B51" s="30" t="s">
        <v>250</v>
      </c>
      <c r="C51" s="30" t="s">
        <v>2135</v>
      </c>
      <c r="D51" s="30" t="s">
        <v>2136</v>
      </c>
      <c r="E51" s="30" t="s">
        <v>2129</v>
      </c>
      <c r="F51" s="30">
        <v>2</v>
      </c>
      <c r="G51" s="30">
        <v>5</v>
      </c>
      <c r="H51" s="30">
        <f t="shared" si="1"/>
        <v>10</v>
      </c>
      <c r="I51" s="30" t="s">
        <v>2130</v>
      </c>
      <c r="J51" s="30" t="s">
        <v>85</v>
      </c>
    </row>
    <row r="52" spans="1:10" ht="15" customHeight="1" x14ac:dyDescent="0.25">
      <c r="A52" s="30" t="s">
        <v>548</v>
      </c>
      <c r="B52" s="30" t="s">
        <v>250</v>
      </c>
      <c r="C52" s="30" t="s">
        <v>2137</v>
      </c>
      <c r="D52" s="30" t="s">
        <v>2136</v>
      </c>
      <c r="E52" s="30" t="s">
        <v>2133</v>
      </c>
      <c r="F52" s="30">
        <v>2</v>
      </c>
      <c r="G52" s="30">
        <v>5</v>
      </c>
      <c r="H52" s="30">
        <f t="shared" si="1"/>
        <v>10</v>
      </c>
      <c r="I52" s="30" t="s">
        <v>2134</v>
      </c>
      <c r="J52" s="30" t="s">
        <v>85</v>
      </c>
    </row>
    <row r="53" spans="1:10" ht="15" customHeight="1" x14ac:dyDescent="0.25">
      <c r="A53" s="30" t="s">
        <v>551</v>
      </c>
      <c r="B53" s="30" t="s">
        <v>256</v>
      </c>
      <c r="C53" s="30" t="s">
        <v>2212</v>
      </c>
      <c r="D53" s="30" t="s">
        <v>2213</v>
      </c>
      <c r="E53" s="30" t="s">
        <v>130</v>
      </c>
      <c r="F53" s="30">
        <v>2</v>
      </c>
      <c r="G53" s="30">
        <v>5</v>
      </c>
      <c r="H53" s="30">
        <f t="shared" si="1"/>
        <v>10</v>
      </c>
      <c r="I53" s="30" t="s">
        <v>2158</v>
      </c>
      <c r="J53" s="30" t="s">
        <v>1520</v>
      </c>
    </row>
    <row r="54" spans="1:10" ht="15" customHeight="1" x14ac:dyDescent="0.25">
      <c r="A54" s="30" t="s">
        <v>551</v>
      </c>
      <c r="B54" s="30" t="s">
        <v>256</v>
      </c>
      <c r="C54" s="30" t="s">
        <v>2148</v>
      </c>
      <c r="D54" s="30" t="s">
        <v>2149</v>
      </c>
      <c r="E54" s="30" t="s">
        <v>130</v>
      </c>
      <c r="F54" s="30">
        <v>2</v>
      </c>
      <c r="G54" s="30">
        <v>5</v>
      </c>
      <c r="H54" s="30">
        <f t="shared" si="1"/>
        <v>10</v>
      </c>
      <c r="I54" s="30" t="s">
        <v>2152</v>
      </c>
      <c r="J54" s="30" t="s">
        <v>1520</v>
      </c>
    </row>
    <row r="55" spans="1:10" ht="15" customHeight="1" x14ac:dyDescent="0.25">
      <c r="A55" s="30" t="s">
        <v>555</v>
      </c>
      <c r="B55" s="30" t="s">
        <v>260</v>
      </c>
      <c r="C55" s="30" t="s">
        <v>2283</v>
      </c>
      <c r="D55" s="30" t="s">
        <v>2284</v>
      </c>
      <c r="E55" s="30" t="s">
        <v>130</v>
      </c>
      <c r="F55" s="30">
        <v>1</v>
      </c>
      <c r="G55" s="30">
        <v>13</v>
      </c>
      <c r="H55" s="30">
        <f t="shared" si="1"/>
        <v>13</v>
      </c>
      <c r="I55" s="30" t="s">
        <v>2158</v>
      </c>
      <c r="J55" s="30" t="s">
        <v>1520</v>
      </c>
    </row>
    <row r="56" spans="1:10" ht="15" customHeight="1" x14ac:dyDescent="0.25">
      <c r="A56" s="30" t="s">
        <v>556</v>
      </c>
      <c r="B56" s="30" t="s">
        <v>262</v>
      </c>
      <c r="C56" s="30" t="s">
        <v>2200</v>
      </c>
      <c r="D56" s="30" t="s">
        <v>2201</v>
      </c>
      <c r="E56" s="30" t="s">
        <v>130</v>
      </c>
      <c r="F56" s="30">
        <v>2</v>
      </c>
      <c r="G56" s="30">
        <v>5</v>
      </c>
      <c r="H56" s="30">
        <f t="shared" si="1"/>
        <v>10</v>
      </c>
      <c r="I56" s="30" t="s">
        <v>2158</v>
      </c>
      <c r="J56" s="30" t="s">
        <v>1520</v>
      </c>
    </row>
    <row r="57" spans="1:10" ht="15" customHeight="1" x14ac:dyDescent="0.25">
      <c r="A57" s="30" t="s">
        <v>557</v>
      </c>
      <c r="B57" s="30" t="s">
        <v>264</v>
      </c>
      <c r="C57" s="30" t="s">
        <v>2263</v>
      </c>
      <c r="D57" s="30" t="s">
        <v>749</v>
      </c>
      <c r="E57" s="30" t="s">
        <v>130</v>
      </c>
      <c r="F57" s="30">
        <v>1</v>
      </c>
      <c r="G57" s="30">
        <v>5</v>
      </c>
      <c r="H57" s="30">
        <f t="shared" si="1"/>
        <v>5</v>
      </c>
      <c r="I57" s="30" t="s">
        <v>2158</v>
      </c>
      <c r="J57" s="30" t="s">
        <v>1520</v>
      </c>
    </row>
    <row r="58" spans="1:10" ht="15" customHeight="1" x14ac:dyDescent="0.25">
      <c r="A58" s="30" t="s">
        <v>558</v>
      </c>
      <c r="B58" s="30" t="s">
        <v>266</v>
      </c>
      <c r="C58" s="30" t="s">
        <v>2257</v>
      </c>
      <c r="D58" s="30" t="s">
        <v>2258</v>
      </c>
      <c r="E58" s="30" t="s">
        <v>2259</v>
      </c>
      <c r="F58" s="30">
        <v>1</v>
      </c>
      <c r="G58" s="30">
        <v>5</v>
      </c>
      <c r="H58" s="30">
        <f t="shared" si="1"/>
        <v>5</v>
      </c>
      <c r="I58" s="30" t="s">
        <v>2190</v>
      </c>
      <c r="J58" s="30" t="s">
        <v>1520</v>
      </c>
    </row>
    <row r="59" spans="1:10" ht="15" customHeight="1" x14ac:dyDescent="0.25">
      <c r="A59" s="30" t="s">
        <v>561</v>
      </c>
      <c r="B59" s="30" t="s">
        <v>270</v>
      </c>
      <c r="C59" s="30" t="s">
        <v>2127</v>
      </c>
      <c r="D59" s="30" t="s">
        <v>2128</v>
      </c>
      <c r="E59" s="30" t="s">
        <v>2129</v>
      </c>
      <c r="F59" s="30">
        <v>2</v>
      </c>
      <c r="G59" s="30">
        <v>56</v>
      </c>
      <c r="H59" s="30">
        <f t="shared" si="1"/>
        <v>112</v>
      </c>
      <c r="I59" s="30" t="s">
        <v>2130</v>
      </c>
      <c r="J59" s="30" t="s">
        <v>85</v>
      </c>
    </row>
    <row r="60" spans="1:10" ht="15" customHeight="1" x14ac:dyDescent="0.25">
      <c r="A60" s="30" t="s">
        <v>561</v>
      </c>
      <c r="B60" s="30" t="s">
        <v>270</v>
      </c>
      <c r="C60" s="30" t="s">
        <v>2132</v>
      </c>
      <c r="D60" s="30" t="s">
        <v>2128</v>
      </c>
      <c r="E60" s="30" t="s">
        <v>2133</v>
      </c>
      <c r="F60" s="30">
        <v>2</v>
      </c>
      <c r="G60" s="30">
        <v>56</v>
      </c>
      <c r="H60" s="30">
        <f t="shared" si="1"/>
        <v>112</v>
      </c>
      <c r="I60" s="30" t="s">
        <v>2134</v>
      </c>
      <c r="J60" s="30" t="s">
        <v>85</v>
      </c>
    </row>
    <row r="61" spans="1:10" ht="15" customHeight="1" x14ac:dyDescent="0.25">
      <c r="A61" s="30" t="s">
        <v>562</v>
      </c>
      <c r="B61" s="30" t="s">
        <v>272</v>
      </c>
      <c r="C61" s="30" t="s">
        <v>2115</v>
      </c>
      <c r="D61" s="30" t="s">
        <v>2116</v>
      </c>
      <c r="E61" s="30" t="s">
        <v>130</v>
      </c>
      <c r="F61" s="30">
        <v>4</v>
      </c>
      <c r="G61" s="30">
        <v>5</v>
      </c>
      <c r="H61" s="30">
        <f t="shared" si="1"/>
        <v>20</v>
      </c>
      <c r="I61" s="30" t="s">
        <v>2068</v>
      </c>
      <c r="J61" s="30" t="s">
        <v>85</v>
      </c>
    </row>
    <row r="62" spans="1:10" ht="15" customHeight="1" x14ac:dyDescent="0.25">
      <c r="A62" s="30" t="s">
        <v>565</v>
      </c>
      <c r="B62" s="30" t="s">
        <v>276</v>
      </c>
      <c r="C62" s="30" t="s">
        <v>893</v>
      </c>
      <c r="D62" s="30" t="s">
        <v>894</v>
      </c>
      <c r="E62" s="30" t="s">
        <v>2194</v>
      </c>
      <c r="F62" s="30">
        <v>1</v>
      </c>
      <c r="G62" s="30">
        <v>5</v>
      </c>
      <c r="H62" s="30">
        <f t="shared" si="1"/>
        <v>5</v>
      </c>
      <c r="I62" s="30" t="s">
        <v>2190</v>
      </c>
      <c r="J62" s="30" t="s">
        <v>1520</v>
      </c>
    </row>
    <row r="63" spans="1:10" ht="15" customHeight="1" x14ac:dyDescent="0.25">
      <c r="A63" s="30" t="s">
        <v>565</v>
      </c>
      <c r="B63" s="30" t="s">
        <v>276</v>
      </c>
      <c r="C63" s="30" t="s">
        <v>2196</v>
      </c>
      <c r="D63" s="30" t="s">
        <v>2197</v>
      </c>
      <c r="E63" s="30" t="s">
        <v>130</v>
      </c>
      <c r="F63" s="30">
        <v>1</v>
      </c>
      <c r="G63" s="30">
        <v>5</v>
      </c>
      <c r="H63" s="30">
        <f t="shared" si="1"/>
        <v>5</v>
      </c>
      <c r="I63" s="30" t="s">
        <v>2158</v>
      </c>
      <c r="J63" s="30" t="s">
        <v>1520</v>
      </c>
    </row>
    <row r="64" spans="1:10" ht="15" customHeight="1" x14ac:dyDescent="0.25">
      <c r="A64" s="30" t="s">
        <v>567</v>
      </c>
      <c r="B64" s="30" t="s">
        <v>279</v>
      </c>
      <c r="C64" s="30" t="s">
        <v>2237</v>
      </c>
      <c r="D64" s="30" t="s">
        <v>2238</v>
      </c>
      <c r="E64" s="30" t="s">
        <v>130</v>
      </c>
      <c r="F64" s="30">
        <v>1</v>
      </c>
      <c r="G64" s="30">
        <v>69</v>
      </c>
      <c r="H64" s="30">
        <f t="shared" si="1"/>
        <v>69</v>
      </c>
      <c r="I64" s="30" t="s">
        <v>2158</v>
      </c>
      <c r="J64" s="30" t="s">
        <v>1520</v>
      </c>
    </row>
    <row r="65" spans="1:10" ht="15" customHeight="1" x14ac:dyDescent="0.25">
      <c r="A65" s="30" t="s">
        <v>568</v>
      </c>
      <c r="B65" s="30" t="s">
        <v>281</v>
      </c>
      <c r="C65" s="30" t="s">
        <v>2237</v>
      </c>
      <c r="D65" s="30" t="s">
        <v>2238</v>
      </c>
      <c r="E65" s="30" t="s">
        <v>130</v>
      </c>
      <c r="F65" s="30">
        <v>1</v>
      </c>
      <c r="G65" s="30">
        <v>69</v>
      </c>
      <c r="H65" s="30">
        <f t="shared" si="1"/>
        <v>69</v>
      </c>
      <c r="I65" s="30" t="s">
        <v>2158</v>
      </c>
      <c r="J65" s="30" t="s">
        <v>1520</v>
      </c>
    </row>
    <row r="66" spans="1:10" ht="15" customHeight="1" x14ac:dyDescent="0.25">
      <c r="A66" s="30" t="s">
        <v>571</v>
      </c>
      <c r="B66" s="30" t="s">
        <v>284</v>
      </c>
      <c r="C66" s="30" t="s">
        <v>2224</v>
      </c>
      <c r="D66" s="30" t="s">
        <v>2225</v>
      </c>
      <c r="E66" s="30" t="s">
        <v>2204</v>
      </c>
      <c r="F66" s="30">
        <v>1</v>
      </c>
      <c r="G66" s="30">
        <v>5</v>
      </c>
      <c r="H66" s="30">
        <f t="shared" si="1"/>
        <v>5</v>
      </c>
      <c r="I66" s="30" t="s">
        <v>2190</v>
      </c>
      <c r="J66" s="30" t="s">
        <v>1520</v>
      </c>
    </row>
    <row r="67" spans="1:10" ht="15" customHeight="1" x14ac:dyDescent="0.25">
      <c r="A67" s="30" t="s">
        <v>575</v>
      </c>
      <c r="B67" s="30" t="s">
        <v>289</v>
      </c>
      <c r="C67" s="30" t="s">
        <v>2234</v>
      </c>
      <c r="D67" s="30" t="s">
        <v>2235</v>
      </c>
      <c r="E67" s="30" t="s">
        <v>130</v>
      </c>
      <c r="F67" s="30">
        <v>1</v>
      </c>
      <c r="G67" s="30">
        <v>5</v>
      </c>
      <c r="H67" s="30">
        <f t="shared" si="1"/>
        <v>5</v>
      </c>
      <c r="I67" s="30" t="s">
        <v>2158</v>
      </c>
      <c r="J67" s="30" t="s">
        <v>1520</v>
      </c>
    </row>
    <row r="68" spans="1:10" ht="15" customHeight="1" x14ac:dyDescent="0.25">
      <c r="A68" s="30" t="s">
        <v>576</v>
      </c>
      <c r="B68" s="30" t="s">
        <v>291</v>
      </c>
      <c r="C68" s="30" t="s">
        <v>918</v>
      </c>
      <c r="D68" s="30" t="s">
        <v>919</v>
      </c>
      <c r="E68" s="30" t="s">
        <v>130</v>
      </c>
      <c r="F68" s="30">
        <v>1</v>
      </c>
      <c r="G68" s="30">
        <v>1</v>
      </c>
      <c r="H68" s="30">
        <f t="shared" si="1"/>
        <v>1</v>
      </c>
      <c r="I68" s="30" t="s">
        <v>2158</v>
      </c>
      <c r="J68" s="30" t="s">
        <v>1520</v>
      </c>
    </row>
    <row r="69" spans="1:10" ht="15" customHeight="1" x14ac:dyDescent="0.25">
      <c r="A69" s="30" t="s">
        <v>576</v>
      </c>
      <c r="B69" s="30" t="s">
        <v>291</v>
      </c>
      <c r="C69" s="30" t="s">
        <v>816</v>
      </c>
      <c r="D69" s="30" t="s">
        <v>920</v>
      </c>
      <c r="E69" s="30" t="s">
        <v>130</v>
      </c>
      <c r="F69" s="30">
        <v>4</v>
      </c>
      <c r="G69" s="30">
        <v>1</v>
      </c>
      <c r="H69" s="30">
        <f t="shared" ref="H69:H100" si="2">F69*G69</f>
        <v>4</v>
      </c>
      <c r="I69" s="30" t="s">
        <v>2158</v>
      </c>
      <c r="J69" s="30" t="s">
        <v>1520</v>
      </c>
    </row>
    <row r="70" spans="1:10" ht="15" customHeight="1" x14ac:dyDescent="0.25">
      <c r="A70" s="30" t="s">
        <v>577</v>
      </c>
      <c r="B70" s="30" t="s">
        <v>293</v>
      </c>
      <c r="C70" s="30" t="s">
        <v>629</v>
      </c>
      <c r="D70" s="30" t="s">
        <v>2182</v>
      </c>
      <c r="E70" s="30" t="s">
        <v>130</v>
      </c>
      <c r="F70" s="30">
        <v>2</v>
      </c>
      <c r="G70" s="30">
        <v>2</v>
      </c>
      <c r="H70" s="30">
        <f t="shared" si="2"/>
        <v>4</v>
      </c>
      <c r="I70" s="30" t="s">
        <v>2158</v>
      </c>
      <c r="J70" s="30" t="s">
        <v>1520</v>
      </c>
    </row>
    <row r="71" spans="1:10" ht="15" customHeight="1" x14ac:dyDescent="0.25">
      <c r="A71" s="30" t="s">
        <v>578</v>
      </c>
      <c r="B71" s="30" t="s">
        <v>295</v>
      </c>
      <c r="C71" s="30" t="s">
        <v>2191</v>
      </c>
      <c r="D71" s="30" t="s">
        <v>2192</v>
      </c>
      <c r="E71" s="30" t="s">
        <v>130</v>
      </c>
      <c r="F71" s="30">
        <v>1</v>
      </c>
      <c r="G71" s="30">
        <v>1</v>
      </c>
      <c r="H71" s="30">
        <f t="shared" si="2"/>
        <v>1</v>
      </c>
      <c r="I71" s="30" t="s">
        <v>2158</v>
      </c>
      <c r="J71" s="30" t="s">
        <v>1520</v>
      </c>
    </row>
    <row r="72" spans="1:10" ht="15" customHeight="1" x14ac:dyDescent="0.25">
      <c r="A72" s="30" t="s">
        <v>579</v>
      </c>
      <c r="B72" s="30" t="s">
        <v>297</v>
      </c>
      <c r="C72" s="30" t="s">
        <v>2239</v>
      </c>
      <c r="D72" s="30" t="s">
        <v>2240</v>
      </c>
      <c r="E72" s="30" t="s">
        <v>2086</v>
      </c>
      <c r="F72" s="30">
        <v>1</v>
      </c>
      <c r="G72" s="30">
        <v>2</v>
      </c>
      <c r="H72" s="30">
        <f t="shared" si="2"/>
        <v>2</v>
      </c>
      <c r="I72" s="30" t="s">
        <v>2190</v>
      </c>
      <c r="J72" s="30" t="s">
        <v>1520</v>
      </c>
    </row>
    <row r="73" spans="1:10" ht="15" customHeight="1" x14ac:dyDescent="0.25">
      <c r="A73" s="30" t="s">
        <v>580</v>
      </c>
      <c r="B73" s="30" t="s">
        <v>299</v>
      </c>
      <c r="C73" s="30" t="s">
        <v>2138</v>
      </c>
      <c r="D73" s="30" t="s">
        <v>2139</v>
      </c>
      <c r="E73" s="30" t="s">
        <v>2140</v>
      </c>
      <c r="F73" s="30">
        <v>1</v>
      </c>
      <c r="G73" s="30">
        <v>1</v>
      </c>
      <c r="H73" s="30">
        <f t="shared" si="2"/>
        <v>1</v>
      </c>
      <c r="I73" s="30" t="s">
        <v>2141</v>
      </c>
      <c r="J73" s="30" t="s">
        <v>85</v>
      </c>
    </row>
    <row r="74" spans="1:10" ht="15" customHeight="1" x14ac:dyDescent="0.25">
      <c r="A74" s="30" t="s">
        <v>581</v>
      </c>
      <c r="B74" s="30" t="s">
        <v>301</v>
      </c>
      <c r="C74" s="30" t="s">
        <v>2266</v>
      </c>
      <c r="D74" s="30" t="s">
        <v>2267</v>
      </c>
      <c r="E74" s="30" t="s">
        <v>130</v>
      </c>
      <c r="F74" s="30">
        <v>1</v>
      </c>
      <c r="G74" s="30">
        <v>2</v>
      </c>
      <c r="H74" s="30">
        <f t="shared" si="2"/>
        <v>2</v>
      </c>
      <c r="I74" s="30" t="s">
        <v>2158</v>
      </c>
      <c r="J74" s="30" t="s">
        <v>1520</v>
      </c>
    </row>
    <row r="75" spans="1:10" ht="15" customHeight="1" x14ac:dyDescent="0.25">
      <c r="A75" s="30" t="s">
        <v>584</v>
      </c>
      <c r="B75" s="30" t="s">
        <v>305</v>
      </c>
      <c r="C75" s="30" t="s">
        <v>2222</v>
      </c>
      <c r="D75" s="30" t="s">
        <v>2223</v>
      </c>
      <c r="E75" s="30" t="s">
        <v>130</v>
      </c>
      <c r="F75" s="30">
        <v>1</v>
      </c>
      <c r="G75" s="30">
        <v>1</v>
      </c>
      <c r="H75" s="30">
        <f t="shared" si="2"/>
        <v>1</v>
      </c>
      <c r="I75" s="30" t="s">
        <v>2158</v>
      </c>
      <c r="J75" s="30" t="s">
        <v>1520</v>
      </c>
    </row>
    <row r="76" spans="1:10" ht="15" customHeight="1" x14ac:dyDescent="0.25">
      <c r="A76" s="30" t="s">
        <v>590</v>
      </c>
      <c r="B76" s="30" t="s">
        <v>312</v>
      </c>
      <c r="C76" s="30" t="s">
        <v>2273</v>
      </c>
      <c r="D76" s="30" t="s">
        <v>2274</v>
      </c>
      <c r="E76" s="30" t="s">
        <v>130</v>
      </c>
      <c r="F76" s="30">
        <v>1</v>
      </c>
      <c r="G76" s="30">
        <v>2</v>
      </c>
      <c r="H76" s="30">
        <f t="shared" si="2"/>
        <v>2</v>
      </c>
      <c r="I76" s="30" t="s">
        <v>2158</v>
      </c>
      <c r="J76" s="30" t="s">
        <v>1520</v>
      </c>
    </row>
    <row r="77" spans="1:10" ht="15" customHeight="1" x14ac:dyDescent="0.25">
      <c r="A77" s="30" t="s">
        <v>591</v>
      </c>
      <c r="B77" s="30" t="s">
        <v>314</v>
      </c>
      <c r="C77" s="30" t="s">
        <v>2226</v>
      </c>
      <c r="D77" s="30" t="s">
        <v>2227</v>
      </c>
      <c r="E77" s="30" t="s">
        <v>2204</v>
      </c>
      <c r="F77" s="30">
        <v>1</v>
      </c>
      <c r="G77" s="30">
        <v>1</v>
      </c>
      <c r="H77" s="30">
        <f t="shared" si="2"/>
        <v>1</v>
      </c>
      <c r="I77" s="30" t="s">
        <v>2190</v>
      </c>
      <c r="J77" s="30" t="s">
        <v>1520</v>
      </c>
    </row>
    <row r="78" spans="1:10" ht="15" customHeight="1" x14ac:dyDescent="0.25">
      <c r="A78" s="30" t="s">
        <v>592</v>
      </c>
      <c r="B78" s="30" t="s">
        <v>316</v>
      </c>
      <c r="C78" s="30" t="s">
        <v>2242</v>
      </c>
      <c r="D78" s="30" t="s">
        <v>2243</v>
      </c>
      <c r="E78" s="30" t="s">
        <v>2086</v>
      </c>
      <c r="F78" s="30">
        <v>1</v>
      </c>
      <c r="G78" s="30">
        <v>1</v>
      </c>
      <c r="H78" s="30">
        <f t="shared" si="2"/>
        <v>1</v>
      </c>
      <c r="I78" s="30" t="s">
        <v>2190</v>
      </c>
      <c r="J78" s="30" t="s">
        <v>1520</v>
      </c>
    </row>
    <row r="79" spans="1:10" ht="15" customHeight="1" x14ac:dyDescent="0.25">
      <c r="A79" s="30" t="s">
        <v>594</v>
      </c>
      <c r="B79" s="30" t="s">
        <v>319</v>
      </c>
      <c r="C79" s="30" t="s">
        <v>2176</v>
      </c>
      <c r="D79" s="30" t="s">
        <v>2177</v>
      </c>
      <c r="E79" s="30" t="s">
        <v>130</v>
      </c>
      <c r="F79" s="30">
        <v>1</v>
      </c>
      <c r="G79" s="30">
        <v>12</v>
      </c>
      <c r="H79" s="30">
        <f t="shared" si="2"/>
        <v>12</v>
      </c>
      <c r="I79" s="30" t="s">
        <v>2158</v>
      </c>
      <c r="J79" s="30" t="s">
        <v>1520</v>
      </c>
    </row>
    <row r="80" spans="1:10" ht="15" customHeight="1" x14ac:dyDescent="0.25">
      <c r="A80" s="30" t="s">
        <v>600</v>
      </c>
      <c r="B80" s="30" t="s">
        <v>324</v>
      </c>
      <c r="C80" s="30" t="s">
        <v>2277</v>
      </c>
      <c r="D80" s="30" t="s">
        <v>2278</v>
      </c>
      <c r="E80" s="30" t="s">
        <v>130</v>
      </c>
      <c r="F80" s="30">
        <v>2</v>
      </c>
      <c r="G80" s="30">
        <v>16</v>
      </c>
      <c r="H80" s="30">
        <f t="shared" si="2"/>
        <v>32</v>
      </c>
      <c r="I80" s="30" t="s">
        <v>2158</v>
      </c>
      <c r="J80" s="30" t="s">
        <v>1520</v>
      </c>
    </row>
    <row r="81" spans="1:10" ht="15" customHeight="1" x14ac:dyDescent="0.25">
      <c r="A81" s="30" t="s">
        <v>602</v>
      </c>
      <c r="B81" s="30" t="s">
        <v>327</v>
      </c>
      <c r="C81" s="30" t="s">
        <v>2218</v>
      </c>
      <c r="D81" s="30" t="s">
        <v>2219</v>
      </c>
      <c r="E81" s="30" t="s">
        <v>130</v>
      </c>
      <c r="F81" s="30">
        <v>1</v>
      </c>
      <c r="G81" s="30">
        <v>10</v>
      </c>
      <c r="H81" s="30">
        <f t="shared" si="2"/>
        <v>10</v>
      </c>
      <c r="I81" s="30" t="s">
        <v>2158</v>
      </c>
      <c r="J81" s="30" t="s">
        <v>1520</v>
      </c>
    </row>
    <row r="82" spans="1:10" ht="15" customHeight="1" x14ac:dyDescent="0.25">
      <c r="A82" s="30" t="s">
        <v>602</v>
      </c>
      <c r="B82" s="30" t="s">
        <v>327</v>
      </c>
      <c r="C82" s="30" t="s">
        <v>2220</v>
      </c>
      <c r="D82" s="30" t="s">
        <v>2221</v>
      </c>
      <c r="E82" s="30" t="s">
        <v>130</v>
      </c>
      <c r="F82" s="30">
        <v>1</v>
      </c>
      <c r="G82" s="30">
        <v>10</v>
      </c>
      <c r="H82" s="30">
        <f t="shared" si="2"/>
        <v>10</v>
      </c>
      <c r="I82" s="30" t="s">
        <v>2158</v>
      </c>
      <c r="J82" s="30" t="s">
        <v>1520</v>
      </c>
    </row>
    <row r="83" spans="1:10" ht="15" customHeight="1" x14ac:dyDescent="0.25">
      <c r="A83" s="30" t="s">
        <v>607</v>
      </c>
      <c r="B83" s="30" t="s">
        <v>333</v>
      </c>
      <c r="C83" s="30" t="s">
        <v>2245</v>
      </c>
      <c r="D83" s="30" t="s">
        <v>2246</v>
      </c>
      <c r="E83" s="30" t="s">
        <v>130</v>
      </c>
      <c r="F83" s="30">
        <v>1</v>
      </c>
      <c r="G83" s="30">
        <v>26</v>
      </c>
      <c r="H83" s="30">
        <f t="shared" si="2"/>
        <v>26</v>
      </c>
      <c r="I83" s="30" t="s">
        <v>2158</v>
      </c>
      <c r="J83" s="30" t="s">
        <v>1520</v>
      </c>
    </row>
    <row r="84" spans="1:10" ht="15" customHeight="1" x14ac:dyDescent="0.25">
      <c r="A84" s="30" t="s">
        <v>608</v>
      </c>
      <c r="B84" s="30" t="s">
        <v>335</v>
      </c>
      <c r="C84" s="30" t="s">
        <v>2143</v>
      </c>
      <c r="D84" s="30" t="s">
        <v>2144</v>
      </c>
      <c r="E84" s="30" t="s">
        <v>2145</v>
      </c>
      <c r="F84" s="30">
        <v>2</v>
      </c>
      <c r="G84" s="30">
        <v>22</v>
      </c>
      <c r="H84" s="30">
        <f t="shared" si="2"/>
        <v>44</v>
      </c>
      <c r="I84" s="30" t="s">
        <v>2087</v>
      </c>
      <c r="J84" s="30" t="s">
        <v>85</v>
      </c>
    </row>
    <row r="85" spans="1:10" ht="15" customHeight="1" x14ac:dyDescent="0.25">
      <c r="A85" s="30" t="s">
        <v>609</v>
      </c>
      <c r="B85" s="30" t="s">
        <v>337</v>
      </c>
      <c r="C85" s="30" t="s">
        <v>2108</v>
      </c>
      <c r="D85" s="30" t="s">
        <v>2147</v>
      </c>
      <c r="E85" s="30" t="s">
        <v>130</v>
      </c>
      <c r="F85" s="30">
        <v>4</v>
      </c>
      <c r="G85" s="30">
        <v>10</v>
      </c>
      <c r="H85" s="30">
        <f t="shared" si="2"/>
        <v>40</v>
      </c>
      <c r="I85" s="30" t="s">
        <v>2158</v>
      </c>
      <c r="J85" s="30" t="s">
        <v>1520</v>
      </c>
    </row>
    <row r="86" spans="1:10" ht="15" customHeight="1" x14ac:dyDescent="0.25">
      <c r="A86" s="30" t="s">
        <v>612</v>
      </c>
      <c r="B86" s="30" t="s">
        <v>342</v>
      </c>
      <c r="C86" s="30" t="s">
        <v>799</v>
      </c>
      <c r="D86" s="30" t="s">
        <v>774</v>
      </c>
      <c r="E86" s="30" t="s">
        <v>2067</v>
      </c>
      <c r="F86" s="30">
        <v>1</v>
      </c>
      <c r="G86" s="30">
        <v>5</v>
      </c>
      <c r="H86" s="30">
        <f t="shared" si="2"/>
        <v>5</v>
      </c>
      <c r="I86" s="30" t="s">
        <v>2162</v>
      </c>
      <c r="J86" s="30" t="s">
        <v>1520</v>
      </c>
    </row>
    <row r="87" spans="1:10" ht="15" customHeight="1" x14ac:dyDescent="0.25">
      <c r="A87" s="30" t="s">
        <v>612</v>
      </c>
      <c r="B87" s="30" t="s">
        <v>342</v>
      </c>
      <c r="C87" s="30" t="s">
        <v>800</v>
      </c>
      <c r="D87" s="30" t="s">
        <v>774</v>
      </c>
      <c r="E87" s="30" t="s">
        <v>2067</v>
      </c>
      <c r="F87" s="30">
        <v>1</v>
      </c>
      <c r="G87" s="30">
        <v>5</v>
      </c>
      <c r="H87" s="30">
        <f t="shared" si="2"/>
        <v>5</v>
      </c>
      <c r="I87" s="30" t="s">
        <v>2162</v>
      </c>
      <c r="J87" s="30" t="s">
        <v>1520</v>
      </c>
    </row>
    <row r="88" spans="1:10" ht="15" customHeight="1" x14ac:dyDescent="0.25">
      <c r="A88" s="30" t="s">
        <v>613</v>
      </c>
      <c r="B88" s="30" t="s">
        <v>344</v>
      </c>
      <c r="C88" s="30" t="s">
        <v>2205</v>
      </c>
      <c r="D88" s="30" t="s">
        <v>2206</v>
      </c>
      <c r="E88" s="30" t="s">
        <v>2204</v>
      </c>
      <c r="F88" s="30">
        <v>1</v>
      </c>
      <c r="G88" s="30">
        <v>6</v>
      </c>
      <c r="H88" s="30">
        <f t="shared" si="2"/>
        <v>6</v>
      </c>
      <c r="I88" s="30" t="s">
        <v>2190</v>
      </c>
      <c r="J88" s="30" t="s">
        <v>1520</v>
      </c>
    </row>
    <row r="89" spans="1:10" ht="15" customHeight="1" x14ac:dyDescent="0.25">
      <c r="A89" s="30" t="s">
        <v>619</v>
      </c>
      <c r="B89" s="30" t="s">
        <v>352</v>
      </c>
      <c r="C89" s="30" t="s">
        <v>2248</v>
      </c>
      <c r="D89" s="30" t="s">
        <v>2249</v>
      </c>
      <c r="E89" s="30" t="s">
        <v>2250</v>
      </c>
      <c r="F89" s="30">
        <v>1</v>
      </c>
      <c r="G89" s="30">
        <v>10</v>
      </c>
      <c r="H89" s="30">
        <f t="shared" si="2"/>
        <v>10</v>
      </c>
      <c r="I89" s="30" t="s">
        <v>2190</v>
      </c>
      <c r="J89" s="30" t="s">
        <v>1520</v>
      </c>
    </row>
    <row r="90" spans="1:10" ht="15" customHeight="1" x14ac:dyDescent="0.25">
      <c r="A90" s="30" t="s">
        <v>619</v>
      </c>
      <c r="B90" s="30" t="s">
        <v>352</v>
      </c>
      <c r="C90" s="30" t="s">
        <v>2252</v>
      </c>
      <c r="D90" s="30" t="s">
        <v>2253</v>
      </c>
      <c r="E90" s="30" t="s">
        <v>130</v>
      </c>
      <c r="F90" s="30">
        <v>1</v>
      </c>
      <c r="G90" s="30">
        <v>10</v>
      </c>
      <c r="H90" s="30">
        <f t="shared" si="2"/>
        <v>10</v>
      </c>
      <c r="I90" s="30" t="s">
        <v>2158</v>
      </c>
      <c r="J90" s="30" t="s">
        <v>1520</v>
      </c>
    </row>
    <row r="91" spans="1:10" ht="15" customHeight="1" x14ac:dyDescent="0.25">
      <c r="A91" s="30" t="s">
        <v>620</v>
      </c>
      <c r="B91" s="30" t="s">
        <v>354</v>
      </c>
      <c r="C91" s="30" t="s">
        <v>2187</v>
      </c>
      <c r="D91" s="30" t="s">
        <v>2188</v>
      </c>
      <c r="E91" s="30" t="s">
        <v>2189</v>
      </c>
      <c r="F91" s="30">
        <v>1</v>
      </c>
      <c r="G91" s="30">
        <v>10</v>
      </c>
      <c r="H91" s="30">
        <f t="shared" si="2"/>
        <v>10</v>
      </c>
      <c r="I91" s="30" t="s">
        <v>2190</v>
      </c>
      <c r="J91" s="30" t="s">
        <v>1520</v>
      </c>
    </row>
    <row r="92" spans="1:10" ht="15" customHeight="1" x14ac:dyDescent="0.25">
      <c r="A92" s="30" t="s">
        <v>625</v>
      </c>
      <c r="B92" s="30" t="s">
        <v>359</v>
      </c>
      <c r="C92" s="30" t="s">
        <v>2127</v>
      </c>
      <c r="D92" s="30" t="s">
        <v>2128</v>
      </c>
      <c r="E92" s="30" t="s">
        <v>2129</v>
      </c>
      <c r="F92" s="30">
        <v>2</v>
      </c>
      <c r="G92" s="30">
        <v>5</v>
      </c>
      <c r="H92" s="30">
        <f t="shared" si="2"/>
        <v>10</v>
      </c>
      <c r="I92" s="30" t="s">
        <v>2130</v>
      </c>
      <c r="J92" s="30" t="s">
        <v>85</v>
      </c>
    </row>
    <row r="93" spans="1:10" ht="15" customHeight="1" x14ac:dyDescent="0.25">
      <c r="A93" s="30" t="s">
        <v>625</v>
      </c>
      <c r="B93" s="30" t="s">
        <v>359</v>
      </c>
      <c r="C93" s="30" t="s">
        <v>2132</v>
      </c>
      <c r="D93" s="30" t="s">
        <v>2128</v>
      </c>
      <c r="E93" s="30" t="s">
        <v>2133</v>
      </c>
      <c r="F93" s="30">
        <v>2</v>
      </c>
      <c r="G93" s="30">
        <v>5</v>
      </c>
      <c r="H93" s="30">
        <f t="shared" si="2"/>
        <v>10</v>
      </c>
      <c r="I93" s="30" t="s">
        <v>2134</v>
      </c>
      <c r="J93" s="30" t="s">
        <v>85</v>
      </c>
    </row>
    <row r="94" spans="1:10" ht="15" customHeight="1" x14ac:dyDescent="0.25">
      <c r="A94" s="30" t="s">
        <v>626</v>
      </c>
      <c r="B94" s="30" t="s">
        <v>360</v>
      </c>
      <c r="C94" s="30" t="s">
        <v>2127</v>
      </c>
      <c r="D94" s="30" t="s">
        <v>2128</v>
      </c>
      <c r="E94" s="30" t="s">
        <v>2129</v>
      </c>
      <c r="F94" s="30">
        <v>2</v>
      </c>
      <c r="G94" s="30">
        <v>5</v>
      </c>
      <c r="H94" s="30">
        <f t="shared" si="2"/>
        <v>10</v>
      </c>
      <c r="I94" s="30" t="s">
        <v>2130</v>
      </c>
      <c r="J94" s="30" t="s">
        <v>85</v>
      </c>
    </row>
    <row r="95" spans="1:10" ht="15" customHeight="1" x14ac:dyDescent="0.25">
      <c r="A95" s="30" t="s">
        <v>626</v>
      </c>
      <c r="B95" s="30" t="s">
        <v>360</v>
      </c>
      <c r="C95" s="30" t="s">
        <v>2132</v>
      </c>
      <c r="D95" s="30" t="s">
        <v>2128</v>
      </c>
      <c r="E95" s="30" t="s">
        <v>2133</v>
      </c>
      <c r="F95" s="30">
        <v>2</v>
      </c>
      <c r="G95" s="30">
        <v>5</v>
      </c>
      <c r="H95" s="30">
        <f t="shared" si="2"/>
        <v>10</v>
      </c>
      <c r="I95" s="30" t="s">
        <v>2134</v>
      </c>
      <c r="J95" s="30" t="s">
        <v>85</v>
      </c>
    </row>
    <row r="96" spans="1:10" ht="15" customHeight="1" x14ac:dyDescent="0.25">
      <c r="A96" s="30" t="s">
        <v>627</v>
      </c>
      <c r="B96" s="30" t="s">
        <v>361</v>
      </c>
      <c r="C96" s="30" t="s">
        <v>2127</v>
      </c>
      <c r="D96" s="30" t="s">
        <v>2128</v>
      </c>
      <c r="E96" s="30" t="s">
        <v>2129</v>
      </c>
      <c r="F96" s="30">
        <v>2</v>
      </c>
      <c r="G96" s="30">
        <v>5</v>
      </c>
      <c r="H96" s="30">
        <f t="shared" si="2"/>
        <v>10</v>
      </c>
      <c r="I96" s="30" t="s">
        <v>2130</v>
      </c>
      <c r="J96" s="30" t="s">
        <v>85</v>
      </c>
    </row>
    <row r="97" spans="1:10" ht="15" customHeight="1" x14ac:dyDescent="0.25">
      <c r="A97" s="30" t="s">
        <v>627</v>
      </c>
      <c r="B97" s="30" t="s">
        <v>361</v>
      </c>
      <c r="C97" s="30" t="s">
        <v>2132</v>
      </c>
      <c r="D97" s="30" t="s">
        <v>2128</v>
      </c>
      <c r="E97" s="30" t="s">
        <v>2133</v>
      </c>
      <c r="F97" s="30">
        <v>2</v>
      </c>
      <c r="G97" s="30">
        <v>5</v>
      </c>
      <c r="H97" s="30">
        <f t="shared" si="2"/>
        <v>10</v>
      </c>
      <c r="I97" s="30" t="s">
        <v>2134</v>
      </c>
      <c r="J97" s="30" t="s">
        <v>85</v>
      </c>
    </row>
    <row r="98" spans="1:10" ht="15" customHeight="1" x14ac:dyDescent="0.25">
      <c r="A98" s="30" t="s">
        <v>629</v>
      </c>
      <c r="B98" s="30" t="s">
        <v>363</v>
      </c>
      <c r="C98" s="30" t="s">
        <v>2264</v>
      </c>
      <c r="D98" s="30" t="s">
        <v>2265</v>
      </c>
      <c r="E98" s="30" t="s">
        <v>130</v>
      </c>
      <c r="F98" s="30">
        <v>1</v>
      </c>
      <c r="G98" s="30">
        <v>4</v>
      </c>
      <c r="H98" s="30">
        <f t="shared" si="2"/>
        <v>4</v>
      </c>
      <c r="I98" s="30" t="s">
        <v>2158</v>
      </c>
      <c r="J98" s="30" t="s">
        <v>1520</v>
      </c>
    </row>
    <row r="99" spans="1:10" ht="15" customHeight="1" x14ac:dyDescent="0.25">
      <c r="A99" s="30" t="s">
        <v>631</v>
      </c>
      <c r="B99" s="30" t="s">
        <v>366</v>
      </c>
      <c r="C99" s="30" t="s">
        <v>2143</v>
      </c>
      <c r="D99" s="30" t="s">
        <v>2144</v>
      </c>
      <c r="E99" s="30" t="s">
        <v>2145</v>
      </c>
      <c r="F99" s="30">
        <v>2</v>
      </c>
      <c r="G99" s="30">
        <v>3</v>
      </c>
      <c r="H99" s="30">
        <f t="shared" si="2"/>
        <v>6</v>
      </c>
      <c r="I99" s="30" t="s">
        <v>2087</v>
      </c>
      <c r="J99" s="30" t="s">
        <v>85</v>
      </c>
    </row>
    <row r="100" spans="1:10" ht="15" customHeight="1" x14ac:dyDescent="0.25">
      <c r="A100" s="30" t="s">
        <v>633</v>
      </c>
      <c r="B100" s="30" t="s">
        <v>368</v>
      </c>
      <c r="C100" s="30" t="s">
        <v>2156</v>
      </c>
      <c r="D100" s="30" t="s">
        <v>2157</v>
      </c>
      <c r="E100" s="30" t="s">
        <v>130</v>
      </c>
      <c r="F100" s="30">
        <v>1</v>
      </c>
      <c r="G100" s="30">
        <v>1</v>
      </c>
      <c r="H100" s="30">
        <f t="shared" si="2"/>
        <v>1</v>
      </c>
      <c r="I100" s="30" t="s">
        <v>2158</v>
      </c>
      <c r="J100" s="30" t="s">
        <v>1520</v>
      </c>
    </row>
    <row r="101" spans="1:10" ht="15" customHeight="1" x14ac:dyDescent="0.25">
      <c r="A101" s="30" t="s">
        <v>634</v>
      </c>
      <c r="B101" s="30" t="s">
        <v>370</v>
      </c>
      <c r="C101" s="30" t="s">
        <v>2228</v>
      </c>
      <c r="D101" s="30" t="s">
        <v>2229</v>
      </c>
      <c r="E101" s="30" t="s">
        <v>2067</v>
      </c>
      <c r="F101" s="30">
        <v>1</v>
      </c>
      <c r="G101" s="30">
        <v>2</v>
      </c>
      <c r="H101" s="30">
        <f t="shared" ref="H101:H132" si="3">F101*G101</f>
        <v>2</v>
      </c>
      <c r="I101" s="30" t="s">
        <v>2162</v>
      </c>
      <c r="J101" s="30" t="s">
        <v>1520</v>
      </c>
    </row>
    <row r="102" spans="1:10" ht="15" customHeight="1" x14ac:dyDescent="0.25">
      <c r="A102" s="30" t="s">
        <v>635</v>
      </c>
      <c r="B102" s="30" t="s">
        <v>372</v>
      </c>
      <c r="C102" s="30" t="s">
        <v>2160</v>
      </c>
      <c r="D102" s="30" t="s">
        <v>2161</v>
      </c>
      <c r="E102" s="30" t="s">
        <v>130</v>
      </c>
      <c r="F102" s="30">
        <v>1</v>
      </c>
      <c r="G102" s="30">
        <v>5</v>
      </c>
      <c r="H102" s="30">
        <f t="shared" si="3"/>
        <v>5</v>
      </c>
      <c r="I102" s="30" t="s">
        <v>2162</v>
      </c>
      <c r="J102" s="30" t="s">
        <v>1520</v>
      </c>
    </row>
    <row r="103" spans="1:10" ht="15" customHeight="1" x14ac:dyDescent="0.25">
      <c r="A103" s="30" t="s">
        <v>635</v>
      </c>
      <c r="B103" s="30" t="s">
        <v>372</v>
      </c>
      <c r="C103" s="30" t="s">
        <v>2164</v>
      </c>
      <c r="D103" s="30" t="s">
        <v>2165</v>
      </c>
      <c r="E103" s="30" t="s">
        <v>130</v>
      </c>
      <c r="F103" s="30">
        <v>1</v>
      </c>
      <c r="G103" s="30">
        <v>5</v>
      </c>
      <c r="H103" s="30">
        <f t="shared" si="3"/>
        <v>5</v>
      </c>
      <c r="I103" s="30" t="s">
        <v>2162</v>
      </c>
      <c r="J103" s="30" t="s">
        <v>1520</v>
      </c>
    </row>
    <row r="104" spans="1:10" ht="15" customHeight="1" x14ac:dyDescent="0.25">
      <c r="A104" s="30" t="s">
        <v>635</v>
      </c>
      <c r="B104" s="30" t="s">
        <v>372</v>
      </c>
      <c r="C104" s="30" t="s">
        <v>2167</v>
      </c>
      <c r="D104" s="30" t="s">
        <v>2168</v>
      </c>
      <c r="E104" s="30" t="s">
        <v>2067</v>
      </c>
      <c r="F104" s="30">
        <v>20</v>
      </c>
      <c r="G104" s="30">
        <v>5</v>
      </c>
      <c r="H104" s="30">
        <f t="shared" si="3"/>
        <v>100</v>
      </c>
      <c r="I104" s="30" t="s">
        <v>2152</v>
      </c>
      <c r="J104" s="30" t="s">
        <v>1520</v>
      </c>
    </row>
    <row r="105" spans="1:10" ht="15" customHeight="1" x14ac:dyDescent="0.25">
      <c r="A105" s="30" t="s">
        <v>635</v>
      </c>
      <c r="B105" s="30" t="s">
        <v>372</v>
      </c>
      <c r="C105" s="30" t="s">
        <v>2169</v>
      </c>
      <c r="D105" s="30" t="s">
        <v>2170</v>
      </c>
      <c r="E105" s="30" t="s">
        <v>2067</v>
      </c>
      <c r="F105" s="30">
        <v>10</v>
      </c>
      <c r="G105" s="30">
        <v>5</v>
      </c>
      <c r="H105" s="30">
        <f t="shared" si="3"/>
        <v>50</v>
      </c>
      <c r="I105" s="30" t="s">
        <v>2152</v>
      </c>
      <c r="J105" s="30" t="s">
        <v>1520</v>
      </c>
    </row>
    <row r="106" spans="1:10" ht="15" customHeight="1" x14ac:dyDescent="0.25">
      <c r="A106" s="30" t="s">
        <v>635</v>
      </c>
      <c r="B106" s="30" t="s">
        <v>372</v>
      </c>
      <c r="C106" s="30" t="s">
        <v>2171</v>
      </c>
      <c r="D106" s="30" t="s">
        <v>2172</v>
      </c>
      <c r="E106" s="30" t="s">
        <v>2067</v>
      </c>
      <c r="F106" s="30">
        <v>6</v>
      </c>
      <c r="G106" s="30">
        <v>5</v>
      </c>
      <c r="H106" s="30">
        <f t="shared" si="3"/>
        <v>30</v>
      </c>
      <c r="I106" s="30" t="s">
        <v>2152</v>
      </c>
      <c r="J106" s="30" t="s">
        <v>1520</v>
      </c>
    </row>
    <row r="107" spans="1:10" ht="15" customHeight="1" x14ac:dyDescent="0.25">
      <c r="A107" s="30" t="s">
        <v>635</v>
      </c>
      <c r="B107" s="30" t="s">
        <v>372</v>
      </c>
      <c r="C107" s="30" t="s">
        <v>2173</v>
      </c>
      <c r="D107" s="30" t="s">
        <v>2174</v>
      </c>
      <c r="E107" s="30" t="s">
        <v>2067</v>
      </c>
      <c r="F107" s="30">
        <v>4</v>
      </c>
      <c r="G107" s="30">
        <v>5</v>
      </c>
      <c r="H107" s="30">
        <f t="shared" si="3"/>
        <v>20</v>
      </c>
      <c r="I107" s="30" t="s">
        <v>2152</v>
      </c>
      <c r="J107" s="30" t="s">
        <v>1520</v>
      </c>
    </row>
    <row r="108" spans="1:10" ht="15" customHeight="1" x14ac:dyDescent="0.25"/>
  </sheetData>
  <autoFilter ref="A4:J107" xr:uid="{00000000-0009-0000-0000-00000D000000}"/>
  <pageMargins left="0.75" right="0.75" top="1" bottom="1" header="0.511811023622047" footer="0.511811023622047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131"/>
  <sheetViews>
    <sheetView zoomScaleNormal="100" workbookViewId="0">
      <pane xSplit="3" ySplit="5" topLeftCell="D91" activePane="bottomRight" state="frozen"/>
      <selection pane="topRight" activeCell="D1" sqref="D1"/>
      <selection pane="bottomLeft" activeCell="A91" sqref="A91"/>
      <selection pane="bottomRight" activeCell="B6" sqref="B6"/>
    </sheetView>
  </sheetViews>
  <sheetFormatPr defaultColWidth="8.7109375" defaultRowHeight="15" x14ac:dyDescent="0.25"/>
  <cols>
    <col min="1" max="1" width="6" customWidth="1"/>
    <col min="2" max="2" width="11" customWidth="1"/>
    <col min="3" max="3" width="38" customWidth="1"/>
    <col min="4" max="4" width="7" customWidth="1"/>
    <col min="5" max="5" width="9" customWidth="1"/>
    <col min="6" max="6" width="10" customWidth="1"/>
    <col min="7" max="7" width="16" customWidth="1"/>
    <col min="8" max="8" width="12" customWidth="1"/>
    <col min="9" max="9" width="24" customWidth="1"/>
    <col min="10" max="10" width="22" customWidth="1"/>
    <col min="11" max="11" width="18" customWidth="1"/>
    <col min="12" max="12" width="13" customWidth="1"/>
    <col min="13" max="13" width="11" customWidth="1"/>
    <col min="14" max="14" width="36" customWidth="1"/>
  </cols>
  <sheetData>
    <row r="1" spans="1:14" ht="18" customHeight="1" x14ac:dyDescent="0.25">
      <c r="A1" s="64" t="s">
        <v>2289</v>
      </c>
    </row>
    <row r="2" spans="1:14" ht="15" customHeight="1" x14ac:dyDescent="0.25">
      <c r="A2" s="208" t="s">
        <v>2290</v>
      </c>
    </row>
    <row r="3" spans="1:14" ht="15" customHeight="1" x14ac:dyDescent="0.25">
      <c r="B3" s="148" t="s">
        <v>2291</v>
      </c>
      <c r="F3" s="209">
        <f>Parametreler!$B$10</f>
        <v>80</v>
      </c>
    </row>
    <row r="4" spans="1:14" ht="15" customHeight="1" x14ac:dyDescent="0.25">
      <c r="B4" s="148" t="s">
        <v>2292</v>
      </c>
      <c r="C4" s="210"/>
      <c r="L4" s="211" t="s">
        <v>2293</v>
      </c>
    </row>
    <row r="5" spans="1:14" ht="45" customHeight="1" x14ac:dyDescent="0.25">
      <c r="A5" s="66" t="s">
        <v>2294</v>
      </c>
      <c r="B5" s="66" t="s">
        <v>2295</v>
      </c>
      <c r="C5" s="66" t="s">
        <v>2296</v>
      </c>
      <c r="D5" s="66" t="s">
        <v>51</v>
      </c>
      <c r="E5" s="66" t="s">
        <v>2297</v>
      </c>
      <c r="F5" s="66" t="s">
        <v>2298</v>
      </c>
      <c r="G5" s="66" t="s">
        <v>2299</v>
      </c>
      <c r="H5" s="66" t="s">
        <v>2300</v>
      </c>
      <c r="I5" s="66" t="s">
        <v>2301</v>
      </c>
      <c r="J5" s="66" t="s">
        <v>2302</v>
      </c>
      <c r="K5" s="66" t="s">
        <v>2303</v>
      </c>
      <c r="L5" s="66" t="s">
        <v>2304</v>
      </c>
      <c r="M5" s="66" t="s">
        <v>2305</v>
      </c>
      <c r="N5" s="66" t="s">
        <v>78</v>
      </c>
    </row>
    <row r="6" spans="1:14" ht="15" customHeight="1" x14ac:dyDescent="0.25">
      <c r="A6" s="212">
        <v>1</v>
      </c>
      <c r="B6" s="212">
        <v>113467</v>
      </c>
      <c r="C6" s="212" t="s">
        <v>141</v>
      </c>
      <c r="D6" s="212" t="s">
        <v>142</v>
      </c>
      <c r="E6" s="212">
        <v>13</v>
      </c>
      <c r="F6" s="213">
        <v>76.040000000000006</v>
      </c>
      <c r="G6" s="212" t="s">
        <v>2306</v>
      </c>
      <c r="H6" s="213">
        <v>2.89</v>
      </c>
      <c r="I6" s="212" t="s">
        <v>440</v>
      </c>
      <c r="J6" s="214" t="str">
        <f>HYPERLINK($C$4&amp;"Teknik_Resim\113467_KAYNAK.pdf","113467_KAYNAK.pdf")</f>
        <v>113467_KAYNAK.pdf</v>
      </c>
      <c r="K6" s="214" t="str">
        <f>HYPERLINK($C$4&amp;"STEP\113467_asm.stp","113467_asm.stp")</f>
        <v>113467_asm.stp</v>
      </c>
      <c r="L6" s="215">
        <v>1</v>
      </c>
      <c r="M6" s="212">
        <f t="shared" ref="M6:M37" si="0">IF(ISNUMBER(L6),IF(L6&gt;0,ROUNDUP(E6/L6,0),""),"")</f>
        <v>13</v>
      </c>
      <c r="N6" s="216" t="s">
        <v>2307</v>
      </c>
    </row>
    <row r="7" spans="1:14" ht="15" customHeight="1" x14ac:dyDescent="0.25">
      <c r="A7" s="212">
        <v>2</v>
      </c>
      <c r="B7" s="212">
        <v>1343489</v>
      </c>
      <c r="C7" s="212" t="s">
        <v>83</v>
      </c>
      <c r="D7" s="212" t="s">
        <v>84</v>
      </c>
      <c r="E7" s="212">
        <v>119</v>
      </c>
      <c r="F7" s="213">
        <v>58.01</v>
      </c>
      <c r="G7" s="212" t="s">
        <v>2308</v>
      </c>
      <c r="H7" s="213">
        <v>3.04</v>
      </c>
      <c r="I7" s="212" t="s">
        <v>440</v>
      </c>
      <c r="J7" s="214" t="str">
        <f>HYPERLINK($C$4&amp;"Teknik_Resim\1343489.pdf","1343489.pdf")</f>
        <v>1343489.pdf</v>
      </c>
      <c r="K7" s="214" t="str">
        <f>HYPERLINK($C$4&amp;"STEP\1343489_asm.stp","1343489_asm.stp")</f>
        <v>1343489_asm.stp</v>
      </c>
      <c r="L7" s="215">
        <v>1</v>
      </c>
      <c r="M7" s="212">
        <f t="shared" si="0"/>
        <v>119</v>
      </c>
      <c r="N7" s="216" t="s">
        <v>2309</v>
      </c>
    </row>
    <row r="8" spans="1:14" ht="15" customHeight="1" x14ac:dyDescent="0.25">
      <c r="A8" s="212">
        <v>3</v>
      </c>
      <c r="B8" s="212">
        <v>125815</v>
      </c>
      <c r="C8" s="212" t="s">
        <v>245</v>
      </c>
      <c r="D8" s="212" t="s">
        <v>246</v>
      </c>
      <c r="E8" s="212">
        <v>1</v>
      </c>
      <c r="F8" s="213">
        <v>47.86</v>
      </c>
      <c r="G8" s="212" t="s">
        <v>2310</v>
      </c>
      <c r="H8" s="213">
        <v>3.17</v>
      </c>
      <c r="I8" s="212" t="s">
        <v>440</v>
      </c>
      <c r="J8" s="214" t="str">
        <f>HYPERLINK($C$4&amp;"Teknik_Resim\125815.pdf","125815.pdf")</f>
        <v>125815.pdf</v>
      </c>
      <c r="K8" s="214" t="str">
        <f>HYPERLINK($C$4&amp;"STEP\125815_asm.stp","125815_asm.stp")</f>
        <v>125815_asm.stp</v>
      </c>
      <c r="L8" s="215">
        <v>1</v>
      </c>
      <c r="M8" s="212">
        <f t="shared" si="0"/>
        <v>1</v>
      </c>
      <c r="N8" s="216"/>
    </row>
    <row r="9" spans="1:14" ht="15" customHeight="1" x14ac:dyDescent="0.25">
      <c r="A9" s="212">
        <v>4</v>
      </c>
      <c r="B9" s="212">
        <v>701340</v>
      </c>
      <c r="C9" s="212" t="s">
        <v>116</v>
      </c>
      <c r="D9" s="212" t="s">
        <v>117</v>
      </c>
      <c r="E9" s="212">
        <v>78</v>
      </c>
      <c r="F9" s="213">
        <v>39.22</v>
      </c>
      <c r="G9" s="212" t="s">
        <v>2311</v>
      </c>
      <c r="H9" s="213">
        <v>2.99</v>
      </c>
      <c r="I9" s="212" t="s">
        <v>440</v>
      </c>
      <c r="J9" s="214" t="str">
        <f>HYPERLINK($C$4&amp;"Teknik_Resim\701340_KAYNAK.pdf","701340_KAYNAK.pdf")</f>
        <v>701340_KAYNAK.pdf</v>
      </c>
      <c r="K9" s="214" t="str">
        <f>HYPERLINK($C$4&amp;"STEP\701340_asm.stp","701340_asm.stp")</f>
        <v>701340_asm.stp</v>
      </c>
      <c r="L9" s="215">
        <v>2</v>
      </c>
      <c r="M9" s="212">
        <f t="shared" si="0"/>
        <v>39</v>
      </c>
      <c r="N9" s="216"/>
    </row>
    <row r="10" spans="1:14" ht="15" customHeight="1" x14ac:dyDescent="0.25">
      <c r="A10" s="212">
        <v>5</v>
      </c>
      <c r="B10" s="212">
        <v>103116</v>
      </c>
      <c r="C10" s="212" t="s">
        <v>102</v>
      </c>
      <c r="D10" s="212" t="s">
        <v>103</v>
      </c>
      <c r="E10" s="212">
        <v>83</v>
      </c>
      <c r="F10" s="213">
        <v>32.56</v>
      </c>
      <c r="G10" s="212" t="s">
        <v>2312</v>
      </c>
      <c r="H10" s="213">
        <v>0.98</v>
      </c>
      <c r="I10" s="212" t="s">
        <v>440</v>
      </c>
      <c r="J10" s="214" t="str">
        <f>HYPERLINK($C$4&amp;"Teknik_Resim\103116.pdf","103116.pdf")</f>
        <v>103116.pdf</v>
      </c>
      <c r="K10" s="214" t="str">
        <f>HYPERLINK($C$4&amp;"STEP\103116_asm.stp","103116_asm.stp")</f>
        <v>103116_asm.stp</v>
      </c>
      <c r="L10" s="215">
        <v>2</v>
      </c>
      <c r="M10" s="212">
        <f t="shared" si="0"/>
        <v>42</v>
      </c>
      <c r="N10" s="216"/>
    </row>
    <row r="11" spans="1:14" ht="15" customHeight="1" x14ac:dyDescent="0.25">
      <c r="A11" s="212">
        <v>6</v>
      </c>
      <c r="B11" s="212">
        <v>105774</v>
      </c>
      <c r="C11" s="212" t="s">
        <v>215</v>
      </c>
      <c r="D11" s="212" t="s">
        <v>216</v>
      </c>
      <c r="E11" s="212">
        <v>5</v>
      </c>
      <c r="F11" s="213">
        <v>30.86</v>
      </c>
      <c r="G11" s="212" t="s">
        <v>2313</v>
      </c>
      <c r="H11" s="213">
        <v>0.81</v>
      </c>
      <c r="I11" s="212" t="s">
        <v>2314</v>
      </c>
      <c r="J11" s="214" t="str">
        <f>HYPERLINK($C$4&amp;"Teknik_Resim\105774.pdf","105774.pdf")</f>
        <v>105774.pdf</v>
      </c>
      <c r="K11" s="214" t="str">
        <f>HYPERLINK($C$4&amp;"STEP\105774_asm.stp","105774_asm.stp")</f>
        <v>105774_asm.stp</v>
      </c>
      <c r="L11" s="215">
        <v>2</v>
      </c>
      <c r="M11" s="212">
        <f t="shared" si="0"/>
        <v>3</v>
      </c>
      <c r="N11" s="216"/>
    </row>
    <row r="12" spans="1:14" ht="15" customHeight="1" x14ac:dyDescent="0.25">
      <c r="A12" s="212">
        <v>7</v>
      </c>
      <c r="B12" s="212">
        <v>182458</v>
      </c>
      <c r="C12" s="212" t="s">
        <v>167</v>
      </c>
      <c r="D12" s="212" t="s">
        <v>107</v>
      </c>
      <c r="E12" s="212">
        <v>19</v>
      </c>
      <c r="F12" s="213">
        <v>27.76</v>
      </c>
      <c r="G12" s="212" t="s">
        <v>2315</v>
      </c>
      <c r="H12" s="213">
        <v>0.82</v>
      </c>
      <c r="I12" s="212" t="s">
        <v>2316</v>
      </c>
      <c r="J12" s="214" t="str">
        <f>HYPERLINK($C$4&amp;"Teknik_Resim\182458.pdf","182458.pdf")</f>
        <v>182458.pdf</v>
      </c>
      <c r="K12" s="214" t="str">
        <f>HYPERLINK($C$4&amp;"STEP\182458_asm.stp","182458_asm.stp")</f>
        <v>182458_asm.stp</v>
      </c>
      <c r="L12" s="215">
        <v>2</v>
      </c>
      <c r="M12" s="212">
        <f t="shared" si="0"/>
        <v>10</v>
      </c>
      <c r="N12" s="216"/>
    </row>
    <row r="13" spans="1:14" ht="15" customHeight="1" x14ac:dyDescent="0.25">
      <c r="A13" s="212">
        <v>8</v>
      </c>
      <c r="B13" s="212">
        <v>182459</v>
      </c>
      <c r="C13" s="212" t="s">
        <v>168</v>
      </c>
      <c r="D13" s="212" t="s">
        <v>119</v>
      </c>
      <c r="E13" s="212">
        <v>19</v>
      </c>
      <c r="F13" s="213">
        <v>27.65</v>
      </c>
      <c r="G13" s="212" t="s">
        <v>2315</v>
      </c>
      <c r="H13" s="213">
        <v>0.82</v>
      </c>
      <c r="I13" s="212" t="s">
        <v>2316</v>
      </c>
      <c r="J13" s="214" t="str">
        <f>HYPERLINK($C$4&amp;"Teknik_Resim\182459.pdf","182459.pdf")</f>
        <v>182459.pdf</v>
      </c>
      <c r="K13" s="214" t="str">
        <f>HYPERLINK($C$4&amp;"STEP\182459_asm.stp","182459_asm.stp")</f>
        <v>182459_asm.stp</v>
      </c>
      <c r="L13" s="215">
        <v>2</v>
      </c>
      <c r="M13" s="212">
        <f t="shared" si="0"/>
        <v>10</v>
      </c>
      <c r="N13" s="216"/>
    </row>
    <row r="14" spans="1:14" ht="15" customHeight="1" x14ac:dyDescent="0.25">
      <c r="A14" s="212">
        <v>9</v>
      </c>
      <c r="B14" s="212">
        <v>111838</v>
      </c>
      <c r="C14" s="212" t="s">
        <v>244</v>
      </c>
      <c r="D14" s="212" t="s">
        <v>93</v>
      </c>
      <c r="E14" s="212">
        <v>3</v>
      </c>
      <c r="F14" s="213">
        <v>27.64</v>
      </c>
      <c r="G14" s="212" t="s">
        <v>2317</v>
      </c>
      <c r="H14" s="213">
        <v>0.74</v>
      </c>
      <c r="I14" s="212" t="s">
        <v>2314</v>
      </c>
      <c r="J14" s="214" t="str">
        <f>HYPERLINK($C$4&amp;"Teknik_Resim\111838.pdf","111838.pdf")</f>
        <v>111838.pdf</v>
      </c>
      <c r="K14" s="214" t="str">
        <f>HYPERLINK($C$4&amp;"STEP\111838_asm.stp","111838_asm.stp")</f>
        <v>111838_asm.stp</v>
      </c>
      <c r="L14" s="215">
        <v>2</v>
      </c>
      <c r="M14" s="212">
        <f t="shared" si="0"/>
        <v>2</v>
      </c>
      <c r="N14" s="216"/>
    </row>
    <row r="15" spans="1:14" ht="15" customHeight="1" x14ac:dyDescent="0.25">
      <c r="A15" s="212">
        <v>10</v>
      </c>
      <c r="B15" s="212">
        <v>111837</v>
      </c>
      <c r="C15" s="212" t="s">
        <v>242</v>
      </c>
      <c r="D15" s="212" t="s">
        <v>243</v>
      </c>
      <c r="E15" s="212">
        <v>3</v>
      </c>
      <c r="F15" s="213">
        <v>27.64</v>
      </c>
      <c r="G15" s="212" t="s">
        <v>2317</v>
      </c>
      <c r="H15" s="213">
        <v>0.74</v>
      </c>
      <c r="I15" s="212" t="s">
        <v>2316</v>
      </c>
      <c r="J15" s="214" t="str">
        <f>HYPERLINK($C$4&amp;"Teknik_Resim\111837.pdf","111837.pdf")</f>
        <v>111837.pdf</v>
      </c>
      <c r="K15" s="214" t="str">
        <f>HYPERLINK($C$4&amp;"STEP\111837_asm.stp","111837_asm.stp")</f>
        <v>111837_asm.stp</v>
      </c>
      <c r="L15" s="215">
        <v>2</v>
      </c>
      <c r="M15" s="212">
        <f t="shared" si="0"/>
        <v>2</v>
      </c>
      <c r="N15" s="216"/>
    </row>
    <row r="16" spans="1:14" ht="15" customHeight="1" x14ac:dyDescent="0.25">
      <c r="A16" s="212">
        <v>11</v>
      </c>
      <c r="B16" s="212">
        <v>103113</v>
      </c>
      <c r="C16" s="212" t="s">
        <v>234</v>
      </c>
      <c r="D16" s="212" t="s">
        <v>194</v>
      </c>
      <c r="E16" s="212">
        <v>10</v>
      </c>
      <c r="F16" s="213">
        <v>21.51</v>
      </c>
      <c r="G16" s="212" t="s">
        <v>2318</v>
      </c>
      <c r="H16" s="213">
        <v>0.45</v>
      </c>
      <c r="I16" s="212" t="s">
        <v>440</v>
      </c>
      <c r="J16" s="214" t="str">
        <f>HYPERLINK($C$4&amp;"Teknik_Resim\103113_KAYNAK.pdf","103113_KAYNAK.pdf")</f>
        <v>103113_KAYNAK.pdf</v>
      </c>
      <c r="K16" s="214" t="str">
        <f>HYPERLINK($C$4&amp;"STEP\103113_asm.stp","103113_asm.stp")</f>
        <v>103113_asm.stp</v>
      </c>
      <c r="L16" s="215">
        <v>4</v>
      </c>
      <c r="M16" s="212">
        <f t="shared" si="0"/>
        <v>3</v>
      </c>
      <c r="N16" s="216"/>
    </row>
    <row r="17" spans="1:14" ht="15" customHeight="1" x14ac:dyDescent="0.25">
      <c r="A17" s="212">
        <v>12</v>
      </c>
      <c r="B17" s="212">
        <v>435620</v>
      </c>
      <c r="C17" s="212" t="s">
        <v>286</v>
      </c>
      <c r="D17" s="212" t="s">
        <v>119</v>
      </c>
      <c r="E17" s="212">
        <v>1</v>
      </c>
      <c r="F17" s="213">
        <v>19.600000000000001</v>
      </c>
      <c r="G17" s="212" t="s">
        <v>2319</v>
      </c>
      <c r="H17" s="213">
        <v>0.9</v>
      </c>
      <c r="I17" s="212" t="s">
        <v>440</v>
      </c>
      <c r="J17" s="214" t="str">
        <f>HYPERLINK($C$4&amp;"Teknik_Resim\435620.pdf","435620.pdf")</f>
        <v>435620.pdf</v>
      </c>
      <c r="K17" s="214" t="str">
        <f>HYPERLINK($C$4&amp;"STEP\435620_asm.stp","435620_asm.stp")</f>
        <v>435620_asm.stp</v>
      </c>
      <c r="L17" s="215">
        <v>4</v>
      </c>
      <c r="M17" s="212">
        <f t="shared" si="0"/>
        <v>1</v>
      </c>
      <c r="N17" s="216"/>
    </row>
    <row r="18" spans="1:14" ht="15" customHeight="1" x14ac:dyDescent="0.25">
      <c r="A18" s="212">
        <v>13</v>
      </c>
      <c r="B18" s="212">
        <v>1251899</v>
      </c>
      <c r="C18" s="212" t="s">
        <v>233</v>
      </c>
      <c r="D18" s="212" t="s">
        <v>107</v>
      </c>
      <c r="E18" s="212">
        <v>13</v>
      </c>
      <c r="F18" s="213">
        <v>18.87</v>
      </c>
      <c r="G18" s="212" t="s">
        <v>2320</v>
      </c>
      <c r="H18" s="213">
        <v>0.52</v>
      </c>
      <c r="I18" s="212" t="s">
        <v>440</v>
      </c>
      <c r="J18" s="214" t="str">
        <f>HYPERLINK($C$4&amp;"Teknik_Resim\1251899_KAYNAK.pdf","1251899_KAYNAK.pdf")</f>
        <v>1251899_KAYNAK.pdf</v>
      </c>
      <c r="K18" s="214" t="str">
        <f>HYPERLINK($C$4&amp;"STEP\1251899_asm.stp","1251899_asm.stp")</f>
        <v>1251899_asm.stp</v>
      </c>
      <c r="L18" s="215">
        <v>4</v>
      </c>
      <c r="M18" s="212">
        <f t="shared" si="0"/>
        <v>4</v>
      </c>
      <c r="N18" s="216"/>
    </row>
    <row r="19" spans="1:14" ht="15" customHeight="1" x14ac:dyDescent="0.25">
      <c r="A19" s="212">
        <v>14</v>
      </c>
      <c r="B19" s="212">
        <v>395388</v>
      </c>
      <c r="C19" s="212" t="s">
        <v>158</v>
      </c>
      <c r="D19" s="212" t="s">
        <v>148</v>
      </c>
      <c r="E19" s="212">
        <v>61</v>
      </c>
      <c r="F19" s="213">
        <v>18.72</v>
      </c>
      <c r="G19" s="212" t="s">
        <v>2321</v>
      </c>
      <c r="H19" s="213">
        <v>0.64</v>
      </c>
      <c r="I19" s="212" t="s">
        <v>2316</v>
      </c>
      <c r="J19" s="214" t="str">
        <f>HYPERLINK($C$4&amp;"Teknik_Resim\395388.pdf","395388.pdf")</f>
        <v>395388.pdf</v>
      </c>
      <c r="K19" s="214" t="str">
        <f>HYPERLINK($C$4&amp;"STEP\395388_asm.stp","395388_asm.stp")</f>
        <v>395388_asm.stp</v>
      </c>
      <c r="L19" s="215">
        <v>4</v>
      </c>
      <c r="M19" s="212">
        <f t="shared" si="0"/>
        <v>16</v>
      </c>
      <c r="N19" s="216"/>
    </row>
    <row r="20" spans="1:14" ht="15" customHeight="1" x14ac:dyDescent="0.25">
      <c r="A20" s="212">
        <v>15</v>
      </c>
      <c r="B20" s="212">
        <v>450299</v>
      </c>
      <c r="C20" s="212" t="s">
        <v>185</v>
      </c>
      <c r="D20" s="212" t="s">
        <v>148</v>
      </c>
      <c r="E20" s="212">
        <v>27</v>
      </c>
      <c r="F20" s="213">
        <v>18.22</v>
      </c>
      <c r="G20" s="212" t="s">
        <v>2322</v>
      </c>
      <c r="H20" s="213">
        <v>0.63</v>
      </c>
      <c r="I20" s="212" t="s">
        <v>2316</v>
      </c>
      <c r="J20" s="214" t="str">
        <f>HYPERLINK($C$4&amp;"Teknik_Resim\450299_KAYNAK.pdf","450299_KAYNAK.pdf")</f>
        <v>450299_KAYNAK.pdf</v>
      </c>
      <c r="K20" s="214" t="str">
        <f>HYPERLINK($C$4&amp;"STEP\450299_asm.stp","450299_asm.stp")</f>
        <v>450299_asm.stp</v>
      </c>
      <c r="L20" s="215">
        <v>4</v>
      </c>
      <c r="M20" s="212">
        <f t="shared" si="0"/>
        <v>7</v>
      </c>
      <c r="N20" s="216"/>
    </row>
    <row r="21" spans="1:14" ht="15" customHeight="1" x14ac:dyDescent="0.25">
      <c r="A21" s="212">
        <v>16</v>
      </c>
      <c r="B21" s="212">
        <v>383453</v>
      </c>
      <c r="C21" s="212" t="s">
        <v>162</v>
      </c>
      <c r="D21" s="212" t="s">
        <v>148</v>
      </c>
      <c r="E21" s="212">
        <v>29</v>
      </c>
      <c r="F21" s="213">
        <v>17.309999999999999</v>
      </c>
      <c r="G21" s="212" t="s">
        <v>2323</v>
      </c>
      <c r="H21" s="213">
        <v>0.96</v>
      </c>
      <c r="I21" s="212" t="s">
        <v>440</v>
      </c>
      <c r="J21" s="214" t="str">
        <f>HYPERLINK($C$4&amp;"Teknik_Resim\383453.pdf","383453.pdf")</f>
        <v>383453.pdf</v>
      </c>
      <c r="K21" s="214" t="str">
        <f>HYPERLINK($C$4&amp;"STEP\383453_asm.stp","383453_asm.stp")</f>
        <v>383453_asm.stp</v>
      </c>
      <c r="L21" s="215">
        <v>3</v>
      </c>
      <c r="M21" s="212">
        <f t="shared" si="0"/>
        <v>10</v>
      </c>
      <c r="N21" s="216"/>
    </row>
    <row r="22" spans="1:14" ht="15" customHeight="1" x14ac:dyDescent="0.25">
      <c r="A22" s="212">
        <v>17</v>
      </c>
      <c r="B22" s="212">
        <v>1055920</v>
      </c>
      <c r="C22" s="212" t="s">
        <v>250</v>
      </c>
      <c r="D22" s="212" t="s">
        <v>251</v>
      </c>
      <c r="E22" s="212">
        <v>5</v>
      </c>
      <c r="F22" s="213">
        <v>15.19</v>
      </c>
      <c r="G22" s="212" t="s">
        <v>2324</v>
      </c>
      <c r="H22" s="213">
        <v>0.31</v>
      </c>
      <c r="I22" s="212" t="s">
        <v>440</v>
      </c>
      <c r="J22" s="214" t="str">
        <f>HYPERLINK($C$4&amp;"Teknik_Resim\1055920_KAYNAK.pdf","1055920_KAYNAK.pdf")</f>
        <v>1055920_KAYNAK.pdf</v>
      </c>
      <c r="K22" s="214" t="str">
        <f>HYPERLINK($C$4&amp;"STEP\1055920_asm.stp","1055920_asm.stp")</f>
        <v>1055920_asm.stp</v>
      </c>
      <c r="L22" s="215">
        <v>4</v>
      </c>
      <c r="M22" s="212">
        <f t="shared" si="0"/>
        <v>2</v>
      </c>
      <c r="N22" s="216"/>
    </row>
    <row r="23" spans="1:14" ht="15" customHeight="1" x14ac:dyDescent="0.25">
      <c r="A23" s="212">
        <v>18</v>
      </c>
      <c r="B23" s="212">
        <v>543377</v>
      </c>
      <c r="C23" s="212" t="s">
        <v>144</v>
      </c>
      <c r="D23" s="212" t="s">
        <v>139</v>
      </c>
      <c r="E23" s="212">
        <v>61</v>
      </c>
      <c r="F23" s="213">
        <v>14.03</v>
      </c>
      <c r="G23" s="212" t="s">
        <v>2325</v>
      </c>
      <c r="H23" s="213">
        <v>0.37</v>
      </c>
      <c r="I23" s="212" t="s">
        <v>440</v>
      </c>
      <c r="J23" s="214" t="str">
        <f>HYPERLINK($C$4&amp;"Teknik_Resim\543377.pdf","543377.pdf")</f>
        <v>543377.pdf</v>
      </c>
      <c r="K23" s="212" t="s">
        <v>2326</v>
      </c>
      <c r="L23" s="215">
        <v>5</v>
      </c>
      <c r="M23" s="212">
        <f t="shared" si="0"/>
        <v>13</v>
      </c>
      <c r="N23" s="216"/>
    </row>
    <row r="24" spans="1:14" ht="15" customHeight="1" x14ac:dyDescent="0.25">
      <c r="A24" s="212">
        <v>19</v>
      </c>
      <c r="B24" s="212">
        <v>238323</v>
      </c>
      <c r="C24" s="212" t="s">
        <v>299</v>
      </c>
      <c r="D24" s="212" t="s">
        <v>110</v>
      </c>
      <c r="E24" s="212">
        <v>1</v>
      </c>
      <c r="F24" s="213">
        <v>13.46</v>
      </c>
      <c r="G24" s="212" t="s">
        <v>2327</v>
      </c>
      <c r="H24" s="213">
        <v>0.59</v>
      </c>
      <c r="I24" s="212" t="s">
        <v>440</v>
      </c>
      <c r="J24" s="214" t="str">
        <f>HYPERLINK($C$4&amp;"Teknik_Resim\238323_BAGLANTI KOLU KAYNAK MONTAJ.pdf","238323_BAGLANTI KOLU KAYNAK MONTAJ.pdf")</f>
        <v>238323_BAGLANTI KOLU KAYNAK MONTAJ.pdf</v>
      </c>
      <c r="K24" s="214" t="str">
        <f>HYPERLINK($C$4&amp;"STEP\238323_asm.stp","238323_asm.stp")</f>
        <v>238323_asm.stp</v>
      </c>
      <c r="L24" s="215">
        <v>5</v>
      </c>
      <c r="M24" s="212">
        <f t="shared" si="0"/>
        <v>1</v>
      </c>
      <c r="N24" s="216"/>
    </row>
    <row r="25" spans="1:14" ht="15" customHeight="1" x14ac:dyDescent="0.25">
      <c r="A25" s="212">
        <v>20</v>
      </c>
      <c r="B25" s="212">
        <v>678436</v>
      </c>
      <c r="C25" s="212" t="s">
        <v>114</v>
      </c>
      <c r="D25" s="212" t="s">
        <v>113</v>
      </c>
      <c r="E25" s="212">
        <v>78</v>
      </c>
      <c r="F25" s="213">
        <v>12.98</v>
      </c>
      <c r="G25" s="212" t="s">
        <v>2328</v>
      </c>
      <c r="H25" s="213">
        <v>0.57999999999999996</v>
      </c>
      <c r="I25" s="212" t="s">
        <v>440</v>
      </c>
      <c r="J25" s="214" t="str">
        <f>HYPERLINK($C$4&amp;"Teknik_Resim\678436_KAYNAK.pdf","678436_KAYNAK.pdf")</f>
        <v>678436_KAYNAK.pdf</v>
      </c>
      <c r="K25" s="214" t="str">
        <f>HYPERLINK($C$4&amp;"STEP\678436_asm.stp","678436_asm.stp")</f>
        <v>678436_asm.stp</v>
      </c>
      <c r="L25" s="215">
        <v>4</v>
      </c>
      <c r="M25" s="212">
        <f t="shared" si="0"/>
        <v>20</v>
      </c>
      <c r="N25" s="216"/>
    </row>
    <row r="26" spans="1:14" ht="15" customHeight="1" x14ac:dyDescent="0.25">
      <c r="A26" s="212">
        <v>21</v>
      </c>
      <c r="B26" s="212">
        <v>677216</v>
      </c>
      <c r="C26" s="212" t="s">
        <v>112</v>
      </c>
      <c r="D26" s="212" t="s">
        <v>113</v>
      </c>
      <c r="E26" s="212">
        <v>78</v>
      </c>
      <c r="F26" s="213">
        <v>12.98</v>
      </c>
      <c r="G26" s="212" t="s">
        <v>2328</v>
      </c>
      <c r="H26" s="213">
        <v>0.57999999999999996</v>
      </c>
      <c r="I26" s="212" t="s">
        <v>440</v>
      </c>
      <c r="J26" s="214" t="str">
        <f>HYPERLINK($C$4&amp;"Teknik_Resim\677216_KAYNAK.pdf","677216_KAYNAK.pdf")</f>
        <v>677216_KAYNAK.pdf</v>
      </c>
      <c r="K26" s="214" t="str">
        <f>HYPERLINK($C$4&amp;"STEP\677216_asm.stp","677216_asm.stp")</f>
        <v>677216_asm.stp</v>
      </c>
      <c r="L26" s="215">
        <v>4</v>
      </c>
      <c r="M26" s="212">
        <f t="shared" si="0"/>
        <v>20</v>
      </c>
      <c r="N26" s="216"/>
    </row>
    <row r="27" spans="1:14" ht="15" customHeight="1" x14ac:dyDescent="0.25">
      <c r="A27" s="212">
        <v>22</v>
      </c>
      <c r="B27" s="212">
        <v>105140</v>
      </c>
      <c r="C27" s="212" t="s">
        <v>175</v>
      </c>
      <c r="D27" s="212" t="s">
        <v>107</v>
      </c>
      <c r="E27" s="212">
        <v>32</v>
      </c>
      <c r="F27" s="213">
        <v>11.66</v>
      </c>
      <c r="G27" s="212" t="s">
        <v>2329</v>
      </c>
      <c r="H27" s="213">
        <v>0.25</v>
      </c>
      <c r="I27" s="212" t="s">
        <v>440</v>
      </c>
      <c r="J27" s="214" t="str">
        <f>HYPERLINK($C$4&amp;"Teknik_Resim\105140_KAYNAK.pdf","105140_KAYNAK.pdf")</f>
        <v>105140_KAYNAK.pdf</v>
      </c>
      <c r="K27" s="214" t="str">
        <f>HYPERLINK($C$4&amp;"STEP\105140_asm.stp","105140_asm.stp")</f>
        <v>105140_asm.stp</v>
      </c>
      <c r="L27" s="215">
        <v>6</v>
      </c>
      <c r="M27" s="212">
        <f t="shared" si="0"/>
        <v>6</v>
      </c>
      <c r="N27" s="216"/>
    </row>
    <row r="28" spans="1:14" ht="15" customHeight="1" x14ac:dyDescent="0.25">
      <c r="A28" s="212">
        <v>23</v>
      </c>
      <c r="B28" s="212">
        <v>106257</v>
      </c>
      <c r="C28" s="212" t="s">
        <v>159</v>
      </c>
      <c r="D28" s="212" t="s">
        <v>110</v>
      </c>
      <c r="E28" s="212">
        <v>55</v>
      </c>
      <c r="F28" s="213">
        <v>10.88</v>
      </c>
      <c r="G28" s="212" t="s">
        <v>2330</v>
      </c>
      <c r="H28" s="213">
        <v>0.39</v>
      </c>
      <c r="I28" s="212" t="s">
        <v>440</v>
      </c>
      <c r="J28" s="214" t="str">
        <f>HYPERLINK($C$4&amp;"Teknik_Resim\106257.pdf","106257.pdf")</f>
        <v>106257.pdf</v>
      </c>
      <c r="K28" s="214" t="str">
        <f>HYPERLINK($C$4&amp;"STEP\106257_asm.stp","106257_asm.stp")</f>
        <v>106257_asm.stp</v>
      </c>
      <c r="L28" s="215">
        <v>6</v>
      </c>
      <c r="M28" s="212">
        <f t="shared" si="0"/>
        <v>10</v>
      </c>
      <c r="N28" s="216"/>
    </row>
    <row r="29" spans="1:14" ht="15" customHeight="1" x14ac:dyDescent="0.25">
      <c r="A29" s="212">
        <v>24</v>
      </c>
      <c r="B29" s="212">
        <v>105666</v>
      </c>
      <c r="C29" s="212" t="s">
        <v>186</v>
      </c>
      <c r="D29" s="212" t="s">
        <v>156</v>
      </c>
      <c r="E29" s="212">
        <v>27</v>
      </c>
      <c r="F29" s="213">
        <v>10.38</v>
      </c>
      <c r="G29" s="212" t="s">
        <v>2331</v>
      </c>
      <c r="H29" s="213">
        <v>0.44</v>
      </c>
      <c r="I29" s="212" t="s">
        <v>440</v>
      </c>
      <c r="J29" s="214" t="str">
        <f>HYPERLINK($C$4&amp;"Teknik_Resim\105666.pdf","105666.pdf")</f>
        <v>105666.pdf</v>
      </c>
      <c r="K29" s="214" t="str">
        <f>HYPERLINK($C$4&amp;"STEP\105666_asm.stp","105666_asm.stp")</f>
        <v>105666_asm.stp</v>
      </c>
      <c r="L29" s="215">
        <v>3</v>
      </c>
      <c r="M29" s="212">
        <f t="shared" si="0"/>
        <v>9</v>
      </c>
      <c r="N29" s="216"/>
    </row>
    <row r="30" spans="1:14" ht="15" customHeight="1" x14ac:dyDescent="0.25">
      <c r="A30" s="212">
        <v>25</v>
      </c>
      <c r="B30" s="212">
        <v>707775</v>
      </c>
      <c r="C30" s="212" t="s">
        <v>205</v>
      </c>
      <c r="D30" s="212" t="s">
        <v>156</v>
      </c>
      <c r="E30" s="212">
        <v>16</v>
      </c>
      <c r="F30" s="213">
        <v>9.98</v>
      </c>
      <c r="G30" s="212" t="s">
        <v>2332</v>
      </c>
      <c r="H30" s="213">
        <v>0.38</v>
      </c>
      <c r="I30" s="212" t="s">
        <v>440</v>
      </c>
      <c r="J30" s="214" t="str">
        <f>HYPERLINK($C$4&amp;"Teknik_Resim\707775.pdf","707775.pdf")</f>
        <v>707775.pdf</v>
      </c>
      <c r="K30" s="214" t="str">
        <f>HYPERLINK($C$4&amp;"STEP\707775_asm.stp","707775_asm.stp")</f>
        <v>707775_asm.stp</v>
      </c>
      <c r="L30" s="215">
        <v>3</v>
      </c>
      <c r="M30" s="212">
        <f t="shared" si="0"/>
        <v>6</v>
      </c>
      <c r="N30" s="216"/>
    </row>
    <row r="31" spans="1:14" ht="15" customHeight="1" x14ac:dyDescent="0.25">
      <c r="A31" s="212">
        <v>26</v>
      </c>
      <c r="B31" s="212">
        <v>235743</v>
      </c>
      <c r="C31" s="212" t="s">
        <v>224</v>
      </c>
      <c r="D31" s="212" t="s">
        <v>194</v>
      </c>
      <c r="E31" s="212">
        <v>10</v>
      </c>
      <c r="F31" s="213">
        <v>9.64</v>
      </c>
      <c r="G31" s="212" t="s">
        <v>2333</v>
      </c>
      <c r="H31" s="213">
        <v>0.42</v>
      </c>
      <c r="I31" s="212" t="s">
        <v>440</v>
      </c>
      <c r="J31" s="214" t="str">
        <f>HYPERLINK($C$4&amp;"Teknik_Resim\235743 H51 PANO SEHPASI.pdf","235743 H51 PANO SEHPASI.pdf")</f>
        <v>235743 H51 PANO SEHPASI.pdf</v>
      </c>
      <c r="K31" s="214" t="str">
        <f>HYPERLINK($C$4&amp;"STEP\235743_asm.stp","235743_asm.stp")</f>
        <v>235743_asm.stp</v>
      </c>
      <c r="L31" s="215">
        <v>3</v>
      </c>
      <c r="M31" s="212">
        <f t="shared" si="0"/>
        <v>4</v>
      </c>
      <c r="N31" s="216"/>
    </row>
    <row r="32" spans="1:14" ht="15" customHeight="1" x14ac:dyDescent="0.25">
      <c r="A32" s="212">
        <v>27</v>
      </c>
      <c r="B32" s="212">
        <v>1276458</v>
      </c>
      <c r="C32" s="212" t="s">
        <v>240</v>
      </c>
      <c r="D32" s="212" t="s">
        <v>84</v>
      </c>
      <c r="E32" s="212">
        <v>3</v>
      </c>
      <c r="F32" s="213">
        <v>8.84</v>
      </c>
      <c r="G32" s="212" t="s">
        <v>2334</v>
      </c>
      <c r="H32" s="213">
        <v>0.48</v>
      </c>
      <c r="I32" s="212" t="s">
        <v>2316</v>
      </c>
      <c r="J32" s="214" t="str">
        <f>HYPERLINK($C$4&amp;"Teknik_Resim\1276458_KAYNAK.pdf","1276458_KAYNAK.pdf")</f>
        <v>1276458_KAYNAK.pdf</v>
      </c>
      <c r="K32" s="214" t="str">
        <f>HYPERLINK($C$4&amp;"STEP\1276458_asm.stp","1276458_asm.stp")</f>
        <v>1276458_asm.stp</v>
      </c>
      <c r="L32" s="215">
        <v>3</v>
      </c>
      <c r="M32" s="212">
        <f t="shared" si="0"/>
        <v>1</v>
      </c>
      <c r="N32" s="216"/>
    </row>
    <row r="33" spans="1:14" ht="15" customHeight="1" x14ac:dyDescent="0.25">
      <c r="A33" s="212">
        <v>28</v>
      </c>
      <c r="B33" s="212">
        <v>1298479</v>
      </c>
      <c r="C33" s="212" t="s">
        <v>183</v>
      </c>
      <c r="D33" s="212" t="s">
        <v>117</v>
      </c>
      <c r="E33" s="212">
        <v>13</v>
      </c>
      <c r="F33" s="213">
        <v>8.84</v>
      </c>
      <c r="G33" s="212" t="s">
        <v>2335</v>
      </c>
      <c r="H33" s="213">
        <v>0.52</v>
      </c>
      <c r="I33" s="212" t="s">
        <v>440</v>
      </c>
      <c r="J33" s="214" t="str">
        <f>HYPERLINK($C$4&amp;"Teknik_Resim\1298479_KAYNAK.pdf","1298479_KAYNAK.pdf")</f>
        <v>1298479_KAYNAK.pdf</v>
      </c>
      <c r="K33" s="214" t="str">
        <f>HYPERLINK($C$4&amp;"STEP\1298479_asm.stp","1298479_asm.stp")</f>
        <v>1298479_asm.stp</v>
      </c>
      <c r="L33" s="215">
        <v>4</v>
      </c>
      <c r="M33" s="212">
        <f t="shared" si="0"/>
        <v>4</v>
      </c>
      <c r="N33" s="216"/>
    </row>
    <row r="34" spans="1:14" ht="15" customHeight="1" x14ac:dyDescent="0.25">
      <c r="A34" s="212">
        <v>29</v>
      </c>
      <c r="B34" s="212">
        <v>106773</v>
      </c>
      <c r="C34" s="212" t="s">
        <v>128</v>
      </c>
      <c r="D34" s="212" t="s">
        <v>110</v>
      </c>
      <c r="E34" s="212">
        <v>85</v>
      </c>
      <c r="F34" s="213">
        <v>8.35</v>
      </c>
      <c r="G34" s="212" t="s">
        <v>2336</v>
      </c>
      <c r="H34" s="213">
        <v>0.46</v>
      </c>
      <c r="I34" s="212" t="s">
        <v>2337</v>
      </c>
      <c r="J34" s="214" t="str">
        <f>HYPERLINK($C$4&amp;"Teknik_Resim\106773.pdf","106773.pdf")</f>
        <v>106773.pdf</v>
      </c>
      <c r="K34" s="214" t="str">
        <f>HYPERLINK($C$4&amp;"STEP\106773_asm.stp","106773_asm.stp")</f>
        <v>106773_asm.stp</v>
      </c>
      <c r="L34" s="215">
        <v>4</v>
      </c>
      <c r="M34" s="212">
        <f t="shared" si="0"/>
        <v>22</v>
      </c>
      <c r="N34" s="216"/>
    </row>
    <row r="35" spans="1:14" ht="15" customHeight="1" x14ac:dyDescent="0.25">
      <c r="A35" s="212">
        <v>30</v>
      </c>
      <c r="B35" s="212">
        <v>108027</v>
      </c>
      <c r="C35" s="212" t="s">
        <v>207</v>
      </c>
      <c r="D35" s="212" t="s">
        <v>117</v>
      </c>
      <c r="E35" s="212">
        <v>16</v>
      </c>
      <c r="F35" s="213">
        <v>8.34</v>
      </c>
      <c r="G35" s="212" t="s">
        <v>2338</v>
      </c>
      <c r="H35" s="213">
        <v>0.17</v>
      </c>
      <c r="I35" s="212" t="s">
        <v>440</v>
      </c>
      <c r="J35" s="214" t="str">
        <f>HYPERLINK($C$4&amp;"Teknik_Resim\108027.pdf","108027.pdf")</f>
        <v>108027.pdf</v>
      </c>
      <c r="K35" s="214" t="str">
        <f>HYPERLINK($C$4&amp;"STEP\108027_asm.stp","108027_asm.stp")</f>
        <v>108027_asm.stp</v>
      </c>
      <c r="L35" s="215">
        <v>6</v>
      </c>
      <c r="M35" s="212">
        <f t="shared" si="0"/>
        <v>3</v>
      </c>
      <c r="N35" s="216"/>
    </row>
    <row r="36" spans="1:14" ht="15" customHeight="1" x14ac:dyDescent="0.25">
      <c r="A36" s="212">
        <v>31</v>
      </c>
      <c r="B36" s="212">
        <v>149762</v>
      </c>
      <c r="C36" s="212" t="s">
        <v>293</v>
      </c>
      <c r="D36" s="212" t="s">
        <v>151</v>
      </c>
      <c r="E36" s="212">
        <v>2</v>
      </c>
      <c r="F36" s="213">
        <v>7.85</v>
      </c>
      <c r="G36" s="212" t="s">
        <v>2325</v>
      </c>
      <c r="H36" s="213">
        <v>0.2</v>
      </c>
      <c r="I36" s="212" t="s">
        <v>440</v>
      </c>
      <c r="J36" s="214" t="str">
        <f>HYPERLINK($C$4&amp;"Teknik_Resim\149762.pdf","149762.pdf")</f>
        <v>149762.pdf</v>
      </c>
      <c r="K36" s="212" t="s">
        <v>2326</v>
      </c>
      <c r="L36" s="215">
        <v>8</v>
      </c>
      <c r="M36" s="212">
        <f t="shared" si="0"/>
        <v>1</v>
      </c>
      <c r="N36" s="216"/>
    </row>
    <row r="37" spans="1:14" ht="15" customHeight="1" x14ac:dyDescent="0.25">
      <c r="A37" s="212">
        <v>32</v>
      </c>
      <c r="B37" s="212">
        <v>380290</v>
      </c>
      <c r="C37" s="212" t="s">
        <v>307</v>
      </c>
      <c r="D37" s="212" t="s">
        <v>194</v>
      </c>
      <c r="E37" s="212">
        <v>1</v>
      </c>
      <c r="F37" s="213">
        <v>7.8</v>
      </c>
      <c r="G37" s="212" t="s">
        <v>2339</v>
      </c>
      <c r="H37" s="213">
        <v>0.36</v>
      </c>
      <c r="I37" s="212" t="s">
        <v>440</v>
      </c>
      <c r="J37" s="214" t="str">
        <f>HYPERLINK($C$4&amp;"Teknik_Resim\380290_BOM VALF SEHPASI.pdf","380290_BOM VALF SEHPASI.pdf")</f>
        <v>380290_BOM VALF SEHPASI.pdf</v>
      </c>
      <c r="K37" s="214" t="str">
        <f>HYPERLINK($C$4&amp;"STEP\380290_asm.stp","380290_asm.stp")</f>
        <v>380290_asm.stp</v>
      </c>
      <c r="L37" s="215">
        <v>3</v>
      </c>
      <c r="M37" s="212">
        <f t="shared" si="0"/>
        <v>1</v>
      </c>
      <c r="N37" s="216"/>
    </row>
    <row r="38" spans="1:14" ht="15" customHeight="1" x14ac:dyDescent="0.25">
      <c r="A38" s="212">
        <v>33</v>
      </c>
      <c r="B38" s="212">
        <v>284248</v>
      </c>
      <c r="C38" s="212" t="s">
        <v>147</v>
      </c>
      <c r="D38" s="212" t="s">
        <v>148</v>
      </c>
      <c r="E38" s="212">
        <v>56</v>
      </c>
      <c r="F38" s="213">
        <v>7.77</v>
      </c>
      <c r="G38" s="212" t="s">
        <v>2340</v>
      </c>
      <c r="H38" s="213">
        <v>0.56999999999999995</v>
      </c>
      <c r="I38" s="212" t="s">
        <v>440</v>
      </c>
      <c r="J38" s="214" t="str">
        <f>HYPERLINK($C$4&amp;"Teknik_Resim\284248.pdf","284248.pdf")</f>
        <v>284248.pdf</v>
      </c>
      <c r="K38" s="214" t="str">
        <f>HYPERLINK($C$4&amp;"STEP\284248_asm.stp","284248_asm.stp")</f>
        <v>284248_asm.stp</v>
      </c>
      <c r="L38" s="215">
        <v>3</v>
      </c>
      <c r="M38" s="212">
        <f t="shared" ref="M38:M69" si="1">IF(ISNUMBER(L38),IF(L38&gt;0,ROUNDUP(E38/L38,0),""),"")</f>
        <v>19</v>
      </c>
      <c r="N38" s="216"/>
    </row>
    <row r="39" spans="1:14" ht="15" customHeight="1" x14ac:dyDescent="0.25">
      <c r="A39" s="212">
        <v>34</v>
      </c>
      <c r="B39" s="212">
        <v>114243</v>
      </c>
      <c r="C39" s="212" t="s">
        <v>172</v>
      </c>
      <c r="D39" s="212" t="s">
        <v>156</v>
      </c>
      <c r="E39" s="212">
        <v>29</v>
      </c>
      <c r="F39" s="213">
        <v>7.33</v>
      </c>
      <c r="G39" s="212" t="s">
        <v>2325</v>
      </c>
      <c r="H39" s="213">
        <v>0.4</v>
      </c>
      <c r="I39" s="212" t="s">
        <v>440</v>
      </c>
      <c r="J39" s="214" t="str">
        <f>HYPERLINK($C$4&amp;"Teknik_Resim\114243.pdf","114243.pdf")</f>
        <v>114243.pdf</v>
      </c>
      <c r="K39" s="212" t="s">
        <v>2326</v>
      </c>
      <c r="L39" s="215">
        <v>3</v>
      </c>
      <c r="M39" s="212">
        <f t="shared" si="1"/>
        <v>10</v>
      </c>
      <c r="N39" s="216"/>
    </row>
    <row r="40" spans="1:14" ht="15" customHeight="1" x14ac:dyDescent="0.25">
      <c r="A40" s="212">
        <v>35</v>
      </c>
      <c r="B40" s="212">
        <v>238114</v>
      </c>
      <c r="C40" s="212" t="s">
        <v>221</v>
      </c>
      <c r="D40" s="212" t="s">
        <v>194</v>
      </c>
      <c r="E40" s="212">
        <v>10</v>
      </c>
      <c r="F40" s="213">
        <v>6.93</v>
      </c>
      <c r="G40" s="212" t="s">
        <v>2325</v>
      </c>
      <c r="H40" s="213">
        <v>0.24</v>
      </c>
      <c r="I40" s="212" t="s">
        <v>440</v>
      </c>
      <c r="J40" s="214" t="str">
        <f>HYPERLINK($C$4&amp;"Teknik_Resim\238114.pdf","238114.pdf")</f>
        <v>238114.pdf</v>
      </c>
      <c r="K40" s="212" t="s">
        <v>2326</v>
      </c>
      <c r="L40" s="215">
        <v>6</v>
      </c>
      <c r="M40" s="212">
        <f t="shared" si="1"/>
        <v>2</v>
      </c>
      <c r="N40" s="216"/>
    </row>
    <row r="41" spans="1:14" ht="15" customHeight="1" x14ac:dyDescent="0.25">
      <c r="A41" s="212">
        <v>36</v>
      </c>
      <c r="B41" s="212">
        <v>113487</v>
      </c>
      <c r="C41" s="212" t="s">
        <v>225</v>
      </c>
      <c r="D41" s="212" t="s">
        <v>194</v>
      </c>
      <c r="E41" s="212">
        <v>13</v>
      </c>
      <c r="F41" s="213">
        <v>6.75</v>
      </c>
      <c r="G41" s="212" t="s">
        <v>2325</v>
      </c>
      <c r="H41" s="213">
        <v>0.21</v>
      </c>
      <c r="I41" s="212" t="s">
        <v>440</v>
      </c>
      <c r="J41" s="214" t="str">
        <f>HYPERLINK($C$4&amp;"Teknik_Resim\113487.pdf","113487.pdf")</f>
        <v>113487.pdf</v>
      </c>
      <c r="K41" s="212" t="s">
        <v>2326</v>
      </c>
      <c r="L41" s="215">
        <v>6</v>
      </c>
      <c r="M41" s="212">
        <f t="shared" si="1"/>
        <v>3</v>
      </c>
      <c r="N41" s="216"/>
    </row>
    <row r="42" spans="1:14" ht="15" customHeight="1" x14ac:dyDescent="0.25">
      <c r="A42" s="212">
        <v>37</v>
      </c>
      <c r="B42" s="212">
        <v>396655</v>
      </c>
      <c r="C42" s="212" t="s">
        <v>295</v>
      </c>
      <c r="D42" s="212" t="s">
        <v>99</v>
      </c>
      <c r="E42" s="212">
        <v>1</v>
      </c>
      <c r="F42" s="213">
        <v>6.68</v>
      </c>
      <c r="G42" s="212" t="s">
        <v>2325</v>
      </c>
      <c r="H42" s="213">
        <v>0.26</v>
      </c>
      <c r="I42" s="212" t="s">
        <v>440</v>
      </c>
      <c r="J42" s="214" t="str">
        <f>HYPERLINK($C$4&amp;"Teknik_Resim\396655.pdf","396655.pdf")</f>
        <v>396655.pdf</v>
      </c>
      <c r="K42" s="212" t="s">
        <v>2326</v>
      </c>
      <c r="L42" s="215">
        <v>6</v>
      </c>
      <c r="M42" s="212">
        <f t="shared" si="1"/>
        <v>1</v>
      </c>
      <c r="N42" s="216"/>
    </row>
    <row r="43" spans="1:14" ht="15" customHeight="1" x14ac:dyDescent="0.25">
      <c r="A43" s="212">
        <v>38</v>
      </c>
      <c r="B43" s="212">
        <v>238625</v>
      </c>
      <c r="C43" s="212" t="s">
        <v>309</v>
      </c>
      <c r="D43" s="212" t="s">
        <v>113</v>
      </c>
      <c r="E43" s="212">
        <v>1</v>
      </c>
      <c r="F43" s="213">
        <v>6.61</v>
      </c>
      <c r="G43" s="212" t="s">
        <v>2325</v>
      </c>
      <c r="H43" s="213">
        <v>0.28000000000000003</v>
      </c>
      <c r="I43" s="212" t="s">
        <v>440</v>
      </c>
      <c r="J43" s="214" t="str">
        <f>HYPERLINK($C$4&amp;"Teknik_Resim\238625_Merdiven Taşıma Kaynak.pdf","238625_Merdiven Taşıma Kaynak.pdf")</f>
        <v>238625_Merdiven Taşıma Kaynak.pdf</v>
      </c>
      <c r="K43" s="212" t="s">
        <v>2326</v>
      </c>
      <c r="L43" s="215">
        <v>6</v>
      </c>
      <c r="M43" s="212">
        <f t="shared" si="1"/>
        <v>1</v>
      </c>
      <c r="N43" s="216"/>
    </row>
    <row r="44" spans="1:14" ht="15" customHeight="1" x14ac:dyDescent="0.25">
      <c r="A44" s="212">
        <v>39</v>
      </c>
      <c r="B44" s="212">
        <v>235228</v>
      </c>
      <c r="C44" s="212" t="s">
        <v>276</v>
      </c>
      <c r="D44" s="212" t="s">
        <v>107</v>
      </c>
      <c r="E44" s="212">
        <v>5</v>
      </c>
      <c r="F44" s="213">
        <v>6.44</v>
      </c>
      <c r="G44" s="212" t="s">
        <v>2325</v>
      </c>
      <c r="H44" s="213">
        <v>0.32</v>
      </c>
      <c r="I44" s="212" t="s">
        <v>440</v>
      </c>
      <c r="J44" s="214" t="str">
        <f>HYPERLINK($C$4&amp;"Teknik_Resim\235228.pdf","235228.pdf")</f>
        <v>235228.pdf</v>
      </c>
      <c r="K44" s="212" t="s">
        <v>2326</v>
      </c>
      <c r="L44" s="215">
        <v>8</v>
      </c>
      <c r="M44" s="212">
        <f t="shared" si="1"/>
        <v>1</v>
      </c>
      <c r="N44" s="216"/>
    </row>
    <row r="45" spans="1:14" ht="15" customHeight="1" x14ac:dyDescent="0.25">
      <c r="A45" s="212">
        <v>40</v>
      </c>
      <c r="B45" s="212">
        <v>238048</v>
      </c>
      <c r="C45" s="212" t="s">
        <v>304</v>
      </c>
      <c r="D45" s="212" t="s">
        <v>194</v>
      </c>
      <c r="E45" s="212">
        <v>1</v>
      </c>
      <c r="F45" s="213">
        <v>6.32</v>
      </c>
      <c r="G45" s="212" t="s">
        <v>2325</v>
      </c>
      <c r="H45" s="213">
        <v>0.14000000000000001</v>
      </c>
      <c r="I45" s="212" t="s">
        <v>440</v>
      </c>
      <c r="J45" s="214" t="str">
        <f>HYPERLINK($C$4&amp;"Teknik_Resim\238048.pdf","238048.pdf")</f>
        <v>238048.pdf</v>
      </c>
      <c r="K45" s="212" t="s">
        <v>2326</v>
      </c>
      <c r="L45" s="215">
        <v>10</v>
      </c>
      <c r="M45" s="212">
        <f t="shared" si="1"/>
        <v>1</v>
      </c>
      <c r="N45" s="216"/>
    </row>
    <row r="46" spans="1:14" ht="15" customHeight="1" x14ac:dyDescent="0.25">
      <c r="A46" s="212">
        <v>41</v>
      </c>
      <c r="B46" s="212">
        <v>108754</v>
      </c>
      <c r="C46" s="212" t="s">
        <v>262</v>
      </c>
      <c r="D46" s="212" t="s">
        <v>156</v>
      </c>
      <c r="E46" s="212">
        <v>5</v>
      </c>
      <c r="F46" s="213">
        <v>6.17</v>
      </c>
      <c r="G46" s="212" t="s">
        <v>2325</v>
      </c>
      <c r="H46" s="213">
        <v>0.22</v>
      </c>
      <c r="I46" s="212" t="s">
        <v>440</v>
      </c>
      <c r="J46" s="214" t="str">
        <f>HYPERLINK($C$4&amp;"Teknik_Resim\108754_KAYNAK.pdf","108754_KAYNAK.pdf")</f>
        <v>108754_KAYNAK.pdf</v>
      </c>
      <c r="K46" s="212" t="s">
        <v>2326</v>
      </c>
      <c r="L46" s="215">
        <v>10</v>
      </c>
      <c r="M46" s="212">
        <f t="shared" si="1"/>
        <v>1</v>
      </c>
      <c r="N46" s="216"/>
    </row>
    <row r="47" spans="1:14" ht="15" customHeight="1" x14ac:dyDescent="0.25">
      <c r="A47" s="212">
        <v>42</v>
      </c>
      <c r="B47" s="212">
        <v>110434</v>
      </c>
      <c r="C47" s="212" t="s">
        <v>121</v>
      </c>
      <c r="D47" s="212" t="s">
        <v>93</v>
      </c>
      <c r="E47" s="212">
        <v>142</v>
      </c>
      <c r="F47" s="213">
        <v>6.14</v>
      </c>
      <c r="G47" s="212" t="s">
        <v>2325</v>
      </c>
      <c r="H47" s="213">
        <v>0.33</v>
      </c>
      <c r="I47" s="212" t="s">
        <v>440</v>
      </c>
      <c r="J47" s="214" t="str">
        <f>HYPERLINK($C$4&amp;"Teknik_Resim\110434.pdf","110434.pdf")</f>
        <v>110434.pdf</v>
      </c>
      <c r="K47" s="212" t="s">
        <v>2326</v>
      </c>
      <c r="L47" s="215">
        <v>10</v>
      </c>
      <c r="M47" s="212">
        <f t="shared" si="1"/>
        <v>15</v>
      </c>
      <c r="N47" s="216"/>
    </row>
    <row r="48" spans="1:14" ht="15" customHeight="1" x14ac:dyDescent="0.25">
      <c r="A48" s="212">
        <v>43</v>
      </c>
      <c r="B48" s="212">
        <v>147808</v>
      </c>
      <c r="C48" s="212" t="s">
        <v>217</v>
      </c>
      <c r="D48" s="212" t="s">
        <v>194</v>
      </c>
      <c r="E48" s="212">
        <v>13</v>
      </c>
      <c r="F48" s="213">
        <v>5.87</v>
      </c>
      <c r="G48" s="212" t="s">
        <v>2325</v>
      </c>
      <c r="H48" s="213">
        <v>0.26</v>
      </c>
      <c r="I48" s="212" t="s">
        <v>440</v>
      </c>
      <c r="J48" s="214" t="str">
        <f>HYPERLINK($C$4&amp;"Teknik_Resim\147808.pdf","147808.pdf")</f>
        <v>147808.pdf</v>
      </c>
      <c r="K48" s="212" t="s">
        <v>2326</v>
      </c>
      <c r="L48" s="215">
        <v>10</v>
      </c>
      <c r="M48" s="212">
        <f t="shared" si="1"/>
        <v>2</v>
      </c>
      <c r="N48" s="216"/>
    </row>
    <row r="49" spans="1:14" ht="15" customHeight="1" x14ac:dyDescent="0.25">
      <c r="A49" s="212">
        <v>44</v>
      </c>
      <c r="B49" s="212">
        <v>115469</v>
      </c>
      <c r="C49" s="212" t="s">
        <v>256</v>
      </c>
      <c r="D49" s="212" t="s">
        <v>119</v>
      </c>
      <c r="E49" s="212">
        <v>5</v>
      </c>
      <c r="F49" s="213">
        <v>5.86</v>
      </c>
      <c r="G49" s="212" t="s">
        <v>2325</v>
      </c>
      <c r="H49" s="213">
        <v>0.2</v>
      </c>
      <c r="I49" s="212" t="s">
        <v>440</v>
      </c>
      <c r="J49" s="214" t="str">
        <f>HYPERLINK($C$4&amp;"Teknik_Resim\115469.pdf","115469.pdf")</f>
        <v>115469.pdf</v>
      </c>
      <c r="K49" s="212" t="s">
        <v>2326</v>
      </c>
      <c r="L49" s="215">
        <v>10</v>
      </c>
      <c r="M49" s="212">
        <f t="shared" si="1"/>
        <v>1</v>
      </c>
      <c r="N49" s="216"/>
    </row>
    <row r="50" spans="1:14" ht="15" customHeight="1" x14ac:dyDescent="0.25">
      <c r="A50" s="212">
        <v>45</v>
      </c>
      <c r="B50" s="212">
        <v>213370</v>
      </c>
      <c r="C50" s="212" t="s">
        <v>174</v>
      </c>
      <c r="D50" s="212" t="s">
        <v>117</v>
      </c>
      <c r="E50" s="212">
        <v>52</v>
      </c>
      <c r="F50" s="213">
        <v>5.75</v>
      </c>
      <c r="G50" s="212" t="s">
        <v>2325</v>
      </c>
      <c r="H50" s="213">
        <v>0.47</v>
      </c>
      <c r="I50" s="212" t="s">
        <v>440</v>
      </c>
      <c r="J50" s="214" t="str">
        <f>HYPERLINK($C$4&amp;"Teknik_Resim\213370.pdf","213370.pdf")</f>
        <v>213370.pdf</v>
      </c>
      <c r="K50" s="212" t="s">
        <v>2326</v>
      </c>
      <c r="L50" s="215">
        <v>4</v>
      </c>
      <c r="M50" s="212">
        <f t="shared" si="1"/>
        <v>13</v>
      </c>
      <c r="N50" s="216"/>
    </row>
    <row r="51" spans="1:14" ht="15" customHeight="1" x14ac:dyDescent="0.25">
      <c r="A51" s="212">
        <v>46</v>
      </c>
      <c r="B51" s="212">
        <v>217605</v>
      </c>
      <c r="C51" s="212" t="s">
        <v>178</v>
      </c>
      <c r="D51" s="212" t="s">
        <v>119</v>
      </c>
      <c r="E51" s="212">
        <v>52</v>
      </c>
      <c r="F51" s="213">
        <v>5.52</v>
      </c>
      <c r="G51" s="212" t="s">
        <v>2325</v>
      </c>
      <c r="H51" s="213">
        <v>0.46</v>
      </c>
      <c r="I51" s="212" t="s">
        <v>440</v>
      </c>
      <c r="J51" s="214" t="str">
        <f>HYPERLINK($C$4&amp;"Teknik_Resim\217605.pdf","217605.pdf")</f>
        <v>217605.pdf</v>
      </c>
      <c r="K51" s="212" t="s">
        <v>2326</v>
      </c>
      <c r="L51" s="215">
        <v>3</v>
      </c>
      <c r="M51" s="212">
        <f t="shared" si="1"/>
        <v>18</v>
      </c>
      <c r="N51" s="216"/>
    </row>
    <row r="52" spans="1:14" ht="15" customHeight="1" x14ac:dyDescent="0.25">
      <c r="A52" s="212">
        <v>47</v>
      </c>
      <c r="B52" s="212">
        <v>236542</v>
      </c>
      <c r="C52" s="212" t="s">
        <v>269</v>
      </c>
      <c r="D52" s="212" t="s">
        <v>107</v>
      </c>
      <c r="E52" s="212">
        <v>5</v>
      </c>
      <c r="F52" s="213">
        <v>5.46</v>
      </c>
      <c r="G52" s="212" t="s">
        <v>2325</v>
      </c>
      <c r="H52" s="213">
        <v>0.45</v>
      </c>
      <c r="I52" s="212" t="s">
        <v>440</v>
      </c>
      <c r="J52" s="214" t="str">
        <f>HYPERLINK($C$4&amp;"Teknik_Resim\236542.pdf","236542.pdf")</f>
        <v>236542.pdf</v>
      </c>
      <c r="K52" s="212" t="s">
        <v>2326</v>
      </c>
      <c r="L52" s="215">
        <v>3</v>
      </c>
      <c r="M52" s="212">
        <f t="shared" si="1"/>
        <v>2</v>
      </c>
      <c r="N52" s="216"/>
    </row>
    <row r="53" spans="1:14" ht="15" customHeight="1" x14ac:dyDescent="0.25">
      <c r="A53" s="212">
        <v>48</v>
      </c>
      <c r="B53" s="212">
        <v>103096</v>
      </c>
      <c r="C53" s="212" t="s">
        <v>283</v>
      </c>
      <c r="D53" s="212" t="s">
        <v>107</v>
      </c>
      <c r="E53" s="212">
        <v>3</v>
      </c>
      <c r="F53" s="213">
        <v>5.29</v>
      </c>
      <c r="G53" s="212" t="s">
        <v>2325</v>
      </c>
      <c r="H53" s="213">
        <v>0.11</v>
      </c>
      <c r="I53" s="212" t="s">
        <v>440</v>
      </c>
      <c r="J53" s="214" t="str">
        <f>HYPERLINK($C$4&amp;"Teknik_Resim\103096.pdf","103096.pdf")</f>
        <v>103096.pdf</v>
      </c>
      <c r="K53" s="212" t="s">
        <v>2326</v>
      </c>
      <c r="L53" s="215">
        <v>10</v>
      </c>
      <c r="M53" s="212">
        <f t="shared" si="1"/>
        <v>1</v>
      </c>
      <c r="N53" s="216"/>
    </row>
    <row r="54" spans="1:14" ht="15" customHeight="1" x14ac:dyDescent="0.25">
      <c r="A54" s="212">
        <v>49</v>
      </c>
      <c r="B54" s="212">
        <v>236540</v>
      </c>
      <c r="C54" s="212" t="s">
        <v>275</v>
      </c>
      <c r="D54" s="212" t="s">
        <v>117</v>
      </c>
      <c r="E54" s="212">
        <v>5</v>
      </c>
      <c r="F54" s="213">
        <v>5.21</v>
      </c>
      <c r="G54" s="212" t="s">
        <v>2325</v>
      </c>
      <c r="H54" s="213">
        <v>0.42</v>
      </c>
      <c r="I54" s="212" t="s">
        <v>440</v>
      </c>
      <c r="J54" s="214" t="str">
        <f>HYPERLINK($C$4&amp;"Teknik_Resim\236540.pdf","236540.pdf")</f>
        <v>236540.pdf</v>
      </c>
      <c r="K54" s="212" t="s">
        <v>2326</v>
      </c>
      <c r="L54" s="215">
        <v>3</v>
      </c>
      <c r="M54" s="212">
        <f t="shared" si="1"/>
        <v>2</v>
      </c>
      <c r="N54" s="216"/>
    </row>
    <row r="55" spans="1:14" ht="15" customHeight="1" x14ac:dyDescent="0.25">
      <c r="A55" s="212">
        <v>50</v>
      </c>
      <c r="B55" s="212">
        <v>106857</v>
      </c>
      <c r="C55" s="212" t="s">
        <v>202</v>
      </c>
      <c r="D55" s="212" t="s">
        <v>148</v>
      </c>
      <c r="E55" s="212">
        <v>25</v>
      </c>
      <c r="F55" s="213">
        <v>5.19</v>
      </c>
      <c r="G55" s="212" t="s">
        <v>2325</v>
      </c>
      <c r="H55" s="213">
        <v>0.11</v>
      </c>
      <c r="I55" s="212" t="s">
        <v>440</v>
      </c>
      <c r="J55" s="214" t="str">
        <f>HYPERLINK($C$4&amp;"Teknik_Resim\106857_KAYNAK.pdf","106857_KAYNAK.pdf")</f>
        <v>106857_KAYNAK.pdf</v>
      </c>
      <c r="K55" s="212" t="s">
        <v>2326</v>
      </c>
      <c r="L55" s="215">
        <v>10</v>
      </c>
      <c r="M55" s="212">
        <f t="shared" si="1"/>
        <v>3</v>
      </c>
      <c r="N55" s="216"/>
    </row>
    <row r="56" spans="1:14" ht="15" customHeight="1" x14ac:dyDescent="0.25">
      <c r="A56" s="212">
        <v>51</v>
      </c>
      <c r="B56" s="212">
        <v>437788</v>
      </c>
      <c r="C56" s="212" t="s">
        <v>310</v>
      </c>
      <c r="D56" s="212" t="s">
        <v>117</v>
      </c>
      <c r="E56" s="212">
        <v>1</v>
      </c>
      <c r="F56" s="213">
        <v>5.1100000000000003</v>
      </c>
      <c r="G56" s="212" t="s">
        <v>2325</v>
      </c>
      <c r="H56" s="213">
        <v>0.26</v>
      </c>
      <c r="I56" s="212" t="s">
        <v>440</v>
      </c>
      <c r="J56" s="214" t="str">
        <f>HYPERLINK($C$4&amp;"Teknik_Resim\437788.pdf","437788.pdf")</f>
        <v>437788.pdf</v>
      </c>
      <c r="K56" s="212" t="s">
        <v>2326</v>
      </c>
      <c r="L56" s="215">
        <v>4</v>
      </c>
      <c r="M56" s="212">
        <f t="shared" si="1"/>
        <v>1</v>
      </c>
      <c r="N56" s="216"/>
    </row>
    <row r="57" spans="1:14" ht="15" customHeight="1" x14ac:dyDescent="0.25">
      <c r="A57" s="212">
        <v>52</v>
      </c>
      <c r="B57" s="212">
        <v>437797</v>
      </c>
      <c r="C57" s="212" t="s">
        <v>311</v>
      </c>
      <c r="D57" s="212" t="s">
        <v>119</v>
      </c>
      <c r="E57" s="212">
        <v>1</v>
      </c>
      <c r="F57" s="213">
        <v>5.1100000000000003</v>
      </c>
      <c r="G57" s="212" t="s">
        <v>2325</v>
      </c>
      <c r="H57" s="213">
        <v>0.26</v>
      </c>
      <c r="I57" s="212" t="s">
        <v>440</v>
      </c>
      <c r="J57" s="214" t="str">
        <f>HYPERLINK($C$4&amp;"Teknik_Resim\437797.pdf","437797.pdf")</f>
        <v>437797.pdf</v>
      </c>
      <c r="K57" s="212" t="s">
        <v>2326</v>
      </c>
      <c r="L57" s="215">
        <v>4</v>
      </c>
      <c r="M57" s="212">
        <f t="shared" si="1"/>
        <v>1</v>
      </c>
      <c r="N57" s="216"/>
    </row>
    <row r="58" spans="1:14" ht="15" customHeight="1" x14ac:dyDescent="0.25">
      <c r="A58" s="212">
        <v>53</v>
      </c>
      <c r="B58" s="212">
        <v>226280</v>
      </c>
      <c r="C58" s="212" t="s">
        <v>235</v>
      </c>
      <c r="D58" s="212" t="s">
        <v>117</v>
      </c>
      <c r="E58" s="212">
        <v>10</v>
      </c>
      <c r="F58" s="213">
        <v>4.79</v>
      </c>
      <c r="G58" s="212" t="s">
        <v>2325</v>
      </c>
      <c r="H58" s="213">
        <v>0.1</v>
      </c>
      <c r="I58" s="212" t="s">
        <v>440</v>
      </c>
      <c r="J58" s="214" t="str">
        <f>HYPERLINK($C$4&amp;"Teknik_Resim\226280 H51 KAIDE KELEPCE TUTUCU.pdf","226280 H51 KAIDE KELEPCE TUTUCU.pdf")</f>
        <v>226280 H51 KAIDE KELEPCE TUTUCU.pdf</v>
      </c>
      <c r="K58" s="212" t="s">
        <v>2326</v>
      </c>
      <c r="L58" s="215">
        <v>10</v>
      </c>
      <c r="M58" s="212">
        <f t="shared" si="1"/>
        <v>1</v>
      </c>
      <c r="N58" s="216"/>
    </row>
    <row r="59" spans="1:14" ht="15" customHeight="1" x14ac:dyDescent="0.25">
      <c r="A59" s="212">
        <v>54</v>
      </c>
      <c r="B59" s="212">
        <v>103626</v>
      </c>
      <c r="C59" s="212" t="s">
        <v>166</v>
      </c>
      <c r="D59" s="212" t="s">
        <v>117</v>
      </c>
      <c r="E59" s="212">
        <v>58</v>
      </c>
      <c r="F59" s="213">
        <v>4.75</v>
      </c>
      <c r="G59" s="212" t="s">
        <v>2325</v>
      </c>
      <c r="H59" s="213">
        <v>0.1</v>
      </c>
      <c r="I59" s="212" t="s">
        <v>440</v>
      </c>
      <c r="J59" s="214" t="str">
        <f>HYPERLINK($C$4&amp;"Teknik_Resim\103626.pdf","103626.pdf")</f>
        <v>103626.pdf</v>
      </c>
      <c r="K59" s="212" t="s">
        <v>2326</v>
      </c>
      <c r="L59" s="215">
        <v>10</v>
      </c>
      <c r="M59" s="212">
        <f t="shared" si="1"/>
        <v>6</v>
      </c>
      <c r="N59" s="216"/>
    </row>
    <row r="60" spans="1:14" ht="15" customHeight="1" x14ac:dyDescent="0.25">
      <c r="A60" s="212">
        <v>55</v>
      </c>
      <c r="B60" s="212">
        <v>678363</v>
      </c>
      <c r="C60" s="212" t="s">
        <v>149</v>
      </c>
      <c r="D60" s="212" t="s">
        <v>107</v>
      </c>
      <c r="E60" s="212">
        <v>86</v>
      </c>
      <c r="F60" s="213">
        <v>4.63</v>
      </c>
      <c r="G60" s="212" t="s">
        <v>2325</v>
      </c>
      <c r="H60" s="213">
        <v>0.12</v>
      </c>
      <c r="I60" s="212" t="s">
        <v>440</v>
      </c>
      <c r="J60" s="214" t="str">
        <f>HYPERLINK($C$4&amp;"Teknik_Resim\678363_KAYNAK.pdf","678363_KAYNAK.pdf")</f>
        <v>678363_KAYNAK.pdf</v>
      </c>
      <c r="K60" s="212" t="s">
        <v>2326</v>
      </c>
      <c r="L60" s="215">
        <v>10</v>
      </c>
      <c r="M60" s="212">
        <f t="shared" si="1"/>
        <v>9</v>
      </c>
      <c r="N60" s="216"/>
    </row>
    <row r="61" spans="1:14" ht="15" customHeight="1" x14ac:dyDescent="0.25">
      <c r="A61" s="212">
        <v>56</v>
      </c>
      <c r="B61" s="212">
        <v>683708</v>
      </c>
      <c r="C61" s="212" t="s">
        <v>308</v>
      </c>
      <c r="D61" s="212" t="s">
        <v>194</v>
      </c>
      <c r="E61" s="212">
        <v>2</v>
      </c>
      <c r="F61" s="213">
        <v>4.58</v>
      </c>
      <c r="G61" s="212" t="s">
        <v>2325</v>
      </c>
      <c r="H61" s="213">
        <v>0.12</v>
      </c>
      <c r="I61" s="212" t="s">
        <v>440</v>
      </c>
      <c r="J61" s="214" t="str">
        <f>HYPERLINK($C$4&amp;"Teknik_Resim\683708.pdf","683708.pdf")</f>
        <v>683708.pdf</v>
      </c>
      <c r="K61" s="212" t="s">
        <v>2326</v>
      </c>
      <c r="L61" s="215">
        <v>10</v>
      </c>
      <c r="M61" s="212">
        <f t="shared" si="1"/>
        <v>1</v>
      </c>
      <c r="N61" s="216"/>
    </row>
    <row r="62" spans="1:14" ht="15" customHeight="1" x14ac:dyDescent="0.25">
      <c r="A62" s="212">
        <v>57</v>
      </c>
      <c r="B62" s="212">
        <v>395097</v>
      </c>
      <c r="C62" s="212" t="s">
        <v>305</v>
      </c>
      <c r="D62" s="212" t="s">
        <v>107</v>
      </c>
      <c r="E62" s="212">
        <v>1</v>
      </c>
      <c r="F62" s="213">
        <v>4.57</v>
      </c>
      <c r="G62" s="212" t="s">
        <v>2325</v>
      </c>
      <c r="H62" s="213">
        <v>0.24</v>
      </c>
      <c r="I62" s="212" t="s">
        <v>440</v>
      </c>
      <c r="J62" s="214" t="str">
        <f>HYPERLINK($C$4&amp;"Teknik_Resim\395097.pdf","395097.pdf")</f>
        <v>395097.pdf</v>
      </c>
      <c r="K62" s="212" t="s">
        <v>2326</v>
      </c>
      <c r="L62" s="215">
        <v>4</v>
      </c>
      <c r="M62" s="212">
        <f t="shared" si="1"/>
        <v>1</v>
      </c>
      <c r="N62" s="216"/>
    </row>
    <row r="63" spans="1:14" ht="15" customHeight="1" x14ac:dyDescent="0.25">
      <c r="A63" s="212">
        <v>58</v>
      </c>
      <c r="B63" s="212">
        <v>379865</v>
      </c>
      <c r="C63" s="212" t="s">
        <v>284</v>
      </c>
      <c r="D63" s="212" t="s">
        <v>113</v>
      </c>
      <c r="E63" s="212">
        <v>5</v>
      </c>
      <c r="F63" s="213">
        <v>4.54</v>
      </c>
      <c r="G63" s="212" t="s">
        <v>2325</v>
      </c>
      <c r="H63" s="213">
        <v>0.26</v>
      </c>
      <c r="I63" s="212" t="s">
        <v>440</v>
      </c>
      <c r="J63" s="214" t="str">
        <f>HYPERLINK($C$4&amp;"Teknik_Resim\379865.pdf","379865.pdf")</f>
        <v>379865.pdf</v>
      </c>
      <c r="K63" s="212" t="s">
        <v>2326</v>
      </c>
      <c r="L63" s="215">
        <v>6</v>
      </c>
      <c r="M63" s="212">
        <f t="shared" si="1"/>
        <v>1</v>
      </c>
      <c r="N63" s="216"/>
    </row>
    <row r="64" spans="1:14" ht="15" customHeight="1" x14ac:dyDescent="0.25">
      <c r="A64" s="212">
        <v>59</v>
      </c>
      <c r="B64" s="212">
        <v>236541</v>
      </c>
      <c r="C64" s="212" t="s">
        <v>282</v>
      </c>
      <c r="D64" s="212" t="s">
        <v>117</v>
      </c>
      <c r="E64" s="212">
        <v>5</v>
      </c>
      <c r="F64" s="213">
        <v>4.49</v>
      </c>
      <c r="G64" s="212" t="s">
        <v>2325</v>
      </c>
      <c r="H64" s="213">
        <v>0.37</v>
      </c>
      <c r="I64" s="212" t="s">
        <v>440</v>
      </c>
      <c r="J64" s="214" t="str">
        <f>HYPERLINK($C$4&amp;"Teknik_Resim\236541.pdf","236541.pdf")</f>
        <v>236541.pdf</v>
      </c>
      <c r="K64" s="212" t="s">
        <v>2326</v>
      </c>
      <c r="L64" s="215">
        <v>4</v>
      </c>
      <c r="M64" s="212">
        <f t="shared" si="1"/>
        <v>2</v>
      </c>
      <c r="N64" s="216"/>
    </row>
    <row r="65" spans="1:14" ht="15" customHeight="1" x14ac:dyDescent="0.25">
      <c r="A65" s="212">
        <v>60</v>
      </c>
      <c r="B65" s="212">
        <v>110032</v>
      </c>
      <c r="C65" s="212" t="s">
        <v>219</v>
      </c>
      <c r="D65" s="212" t="s">
        <v>117</v>
      </c>
      <c r="E65" s="212">
        <v>13</v>
      </c>
      <c r="F65" s="213">
        <v>4.47</v>
      </c>
      <c r="G65" s="212" t="s">
        <v>2325</v>
      </c>
      <c r="H65" s="213">
        <v>0.23</v>
      </c>
      <c r="I65" s="212" t="s">
        <v>440</v>
      </c>
      <c r="J65" s="214" t="str">
        <f>HYPERLINK($C$4&amp;"Teknik_Resim\110032.pdf","110032.pdf")</f>
        <v>110032.pdf</v>
      </c>
      <c r="K65" s="212" t="s">
        <v>2326</v>
      </c>
      <c r="L65" s="215">
        <v>3</v>
      </c>
      <c r="M65" s="212">
        <f t="shared" si="1"/>
        <v>5</v>
      </c>
      <c r="N65" s="216"/>
    </row>
    <row r="66" spans="1:14" ht="15" customHeight="1" x14ac:dyDescent="0.25">
      <c r="A66" s="212">
        <v>61</v>
      </c>
      <c r="B66" s="212">
        <v>379461</v>
      </c>
      <c r="C66" s="212" t="s">
        <v>314</v>
      </c>
      <c r="D66" s="212" t="s">
        <v>156</v>
      </c>
      <c r="E66" s="212">
        <v>1</v>
      </c>
      <c r="F66" s="213">
        <v>4.29</v>
      </c>
      <c r="G66" s="212" t="s">
        <v>2325</v>
      </c>
      <c r="H66" s="213">
        <v>0.25</v>
      </c>
      <c r="I66" s="212" t="s">
        <v>440</v>
      </c>
      <c r="J66" s="214" t="str">
        <f>HYPERLINK($C$4&amp;"Teknik_Resim\379461_TESISAT BAGLANTI KOLU KAYNAK.pdf","379461_TESISAT BAGLANTI KOLU KAYNAK.pdf")</f>
        <v>379461_TESISAT BAGLANTI KOLU KAYNAK.pdf</v>
      </c>
      <c r="K66" s="212" t="s">
        <v>2326</v>
      </c>
      <c r="L66" s="215">
        <v>6</v>
      </c>
      <c r="M66" s="212">
        <f t="shared" si="1"/>
        <v>1</v>
      </c>
      <c r="N66" s="216"/>
    </row>
    <row r="67" spans="1:14" ht="15" customHeight="1" x14ac:dyDescent="0.25">
      <c r="A67" s="212">
        <v>62</v>
      </c>
      <c r="B67" s="212">
        <v>543391</v>
      </c>
      <c r="C67" s="212" t="s">
        <v>176</v>
      </c>
      <c r="D67" s="212" t="s">
        <v>99</v>
      </c>
      <c r="E67" s="212">
        <v>61</v>
      </c>
      <c r="F67" s="213">
        <v>4.13</v>
      </c>
      <c r="G67" s="212" t="s">
        <v>2325</v>
      </c>
      <c r="H67" s="213">
        <v>0.19</v>
      </c>
      <c r="I67" s="212" t="s">
        <v>440</v>
      </c>
      <c r="J67" s="214" t="str">
        <f>HYPERLINK($C$4&amp;"Teknik_Resim\543391.pdf","543391.pdf")</f>
        <v>543391.pdf</v>
      </c>
      <c r="K67" s="212" t="s">
        <v>2326</v>
      </c>
      <c r="L67" s="215">
        <v>10</v>
      </c>
      <c r="M67" s="212">
        <f t="shared" si="1"/>
        <v>7</v>
      </c>
      <c r="N67" s="216"/>
    </row>
    <row r="68" spans="1:14" ht="15" customHeight="1" x14ac:dyDescent="0.25">
      <c r="A68" s="212">
        <v>63</v>
      </c>
      <c r="B68" s="212">
        <v>1162338</v>
      </c>
      <c r="C68" s="212" t="s">
        <v>220</v>
      </c>
      <c r="D68" s="212" t="s">
        <v>139</v>
      </c>
      <c r="E68" s="212">
        <v>16</v>
      </c>
      <c r="F68" s="213">
        <v>4.09</v>
      </c>
      <c r="G68" s="212" t="s">
        <v>2325</v>
      </c>
      <c r="H68" s="213">
        <v>0.12</v>
      </c>
      <c r="I68" s="212" t="s">
        <v>440</v>
      </c>
      <c r="J68" s="214" t="str">
        <f>HYPERLINK($C$4&amp;"Teknik_Resim\1162338.pdf","1162338.pdf")</f>
        <v>1162338.pdf</v>
      </c>
      <c r="K68" s="212" t="s">
        <v>2326</v>
      </c>
      <c r="L68" s="215">
        <v>10</v>
      </c>
      <c r="M68" s="212">
        <f t="shared" si="1"/>
        <v>2</v>
      </c>
      <c r="N68" s="216"/>
    </row>
    <row r="69" spans="1:14" ht="15" customHeight="1" x14ac:dyDescent="0.25">
      <c r="A69" s="212">
        <v>64</v>
      </c>
      <c r="B69" s="212">
        <v>112616</v>
      </c>
      <c r="C69" s="212" t="s">
        <v>89</v>
      </c>
      <c r="D69" s="212" t="s">
        <v>90</v>
      </c>
      <c r="E69" s="212">
        <v>139</v>
      </c>
      <c r="F69" s="213">
        <v>4.08</v>
      </c>
      <c r="G69" s="212" t="s">
        <v>2325</v>
      </c>
      <c r="H69" s="213">
        <v>0.35</v>
      </c>
      <c r="I69" s="212" t="s">
        <v>440</v>
      </c>
      <c r="J69" s="214" t="str">
        <f>HYPERLINK($C$4&amp;"Teknik_Resim\112616.pdf","112616.pdf")</f>
        <v>112616.pdf</v>
      </c>
      <c r="K69" s="212" t="s">
        <v>2326</v>
      </c>
      <c r="L69" s="215">
        <v>4</v>
      </c>
      <c r="M69" s="212">
        <f t="shared" si="1"/>
        <v>35</v>
      </c>
      <c r="N69" s="216"/>
    </row>
    <row r="70" spans="1:14" ht="15" customHeight="1" x14ac:dyDescent="0.25">
      <c r="A70" s="212">
        <v>65</v>
      </c>
      <c r="B70" s="212">
        <v>120828</v>
      </c>
      <c r="C70" s="212" t="s">
        <v>289</v>
      </c>
      <c r="D70" s="212" t="s">
        <v>119</v>
      </c>
      <c r="E70" s="212">
        <v>5</v>
      </c>
      <c r="F70" s="213">
        <v>3.99</v>
      </c>
      <c r="G70" s="212" t="s">
        <v>2325</v>
      </c>
      <c r="H70" s="213">
        <v>0.19</v>
      </c>
      <c r="I70" s="212" t="s">
        <v>440</v>
      </c>
      <c r="J70" s="214" t="str">
        <f>HYPERLINK($C$4&amp;"Teknik_Resim\120828.pdf","120828.pdf")</f>
        <v>120828.pdf</v>
      </c>
      <c r="K70" s="212" t="s">
        <v>2326</v>
      </c>
      <c r="L70" s="215">
        <v>10</v>
      </c>
      <c r="M70" s="212">
        <f t="shared" ref="M70:M101" si="2">IF(ISNUMBER(L70),IF(L70&gt;0,ROUNDUP(E70/L70,0),""),"")</f>
        <v>1</v>
      </c>
      <c r="N70" s="216"/>
    </row>
    <row r="71" spans="1:14" ht="15" customHeight="1" x14ac:dyDescent="0.25">
      <c r="A71" s="212">
        <v>66</v>
      </c>
      <c r="B71" s="212">
        <v>217603</v>
      </c>
      <c r="C71" s="212" t="s">
        <v>192</v>
      </c>
      <c r="D71" s="212" t="s">
        <v>107</v>
      </c>
      <c r="E71" s="212">
        <v>52</v>
      </c>
      <c r="F71" s="213">
        <v>3.87</v>
      </c>
      <c r="G71" s="212" t="s">
        <v>2325</v>
      </c>
      <c r="H71" s="213">
        <v>0.32</v>
      </c>
      <c r="I71" s="212" t="s">
        <v>440</v>
      </c>
      <c r="J71" s="214" t="str">
        <f>HYPERLINK($C$4&amp;"Teknik_Resim\217603.pdf","217603.pdf")</f>
        <v>217603.pdf</v>
      </c>
      <c r="K71" s="212" t="s">
        <v>2326</v>
      </c>
      <c r="L71" s="215">
        <v>3</v>
      </c>
      <c r="M71" s="212">
        <f t="shared" si="2"/>
        <v>18</v>
      </c>
      <c r="N71" s="216"/>
    </row>
    <row r="72" spans="1:14" ht="15" customHeight="1" x14ac:dyDescent="0.25">
      <c r="A72" s="212">
        <v>67</v>
      </c>
      <c r="B72" s="212">
        <v>561773</v>
      </c>
      <c r="C72" s="212" t="s">
        <v>197</v>
      </c>
      <c r="D72" s="212" t="s">
        <v>113</v>
      </c>
      <c r="E72" s="212">
        <v>19</v>
      </c>
      <c r="F72" s="213">
        <v>3.84</v>
      </c>
      <c r="G72" s="212" t="s">
        <v>2325</v>
      </c>
      <c r="H72" s="213">
        <v>0.16</v>
      </c>
      <c r="I72" s="212" t="s">
        <v>440</v>
      </c>
      <c r="J72" s="214" t="str">
        <f>HYPERLINK($C$4&amp;"Teknik_Resim\561773.pdf","561773.pdf")</f>
        <v>561773.pdf</v>
      </c>
      <c r="K72" s="212" t="s">
        <v>2326</v>
      </c>
      <c r="L72" s="215">
        <v>4</v>
      </c>
      <c r="M72" s="212">
        <f t="shared" si="2"/>
        <v>5</v>
      </c>
      <c r="N72" s="216"/>
    </row>
    <row r="73" spans="1:14" ht="15" customHeight="1" x14ac:dyDescent="0.25">
      <c r="A73" s="212">
        <v>68</v>
      </c>
      <c r="B73" s="212">
        <v>1225643</v>
      </c>
      <c r="C73" s="212" t="s">
        <v>297</v>
      </c>
      <c r="D73" s="212" t="s">
        <v>139</v>
      </c>
      <c r="E73" s="212">
        <v>2</v>
      </c>
      <c r="F73" s="213">
        <v>3.63</v>
      </c>
      <c r="G73" s="212" t="s">
        <v>2325</v>
      </c>
      <c r="H73" s="213">
        <v>0.16</v>
      </c>
      <c r="I73" s="212" t="s">
        <v>440</v>
      </c>
      <c r="J73" s="214" t="str">
        <f>HYPERLINK($C$4&amp;"Teknik_Resim\1225643.pdf","1225643.pdf")</f>
        <v>1225643.pdf</v>
      </c>
      <c r="K73" s="212" t="s">
        <v>2326</v>
      </c>
      <c r="L73" s="215">
        <v>10</v>
      </c>
      <c r="M73" s="212">
        <f t="shared" si="2"/>
        <v>1</v>
      </c>
      <c r="N73" s="216"/>
    </row>
    <row r="74" spans="1:14" ht="15" customHeight="1" x14ac:dyDescent="0.25">
      <c r="A74" s="212">
        <v>69</v>
      </c>
      <c r="B74" s="212">
        <v>112574</v>
      </c>
      <c r="C74" s="212" t="s">
        <v>106</v>
      </c>
      <c r="D74" s="212" t="s">
        <v>107</v>
      </c>
      <c r="E74" s="212">
        <v>204</v>
      </c>
      <c r="F74" s="213">
        <v>3.56</v>
      </c>
      <c r="G74" s="212" t="s">
        <v>2325</v>
      </c>
      <c r="H74" s="213">
        <v>0.11</v>
      </c>
      <c r="I74" s="212" t="s">
        <v>440</v>
      </c>
      <c r="J74" s="214" t="str">
        <f>HYPERLINK($C$4&amp;"Teknik_Resim\112574.pdf","112574.pdf")</f>
        <v>112574.pdf</v>
      </c>
      <c r="K74" s="212" t="s">
        <v>2326</v>
      </c>
      <c r="L74" s="215">
        <v>10</v>
      </c>
      <c r="M74" s="212">
        <f t="shared" si="2"/>
        <v>21</v>
      </c>
      <c r="N74" s="216"/>
    </row>
    <row r="75" spans="1:14" ht="15" customHeight="1" x14ac:dyDescent="0.25">
      <c r="A75" s="212">
        <v>70</v>
      </c>
      <c r="B75" s="212">
        <v>1239851</v>
      </c>
      <c r="C75" s="212" t="s">
        <v>274</v>
      </c>
      <c r="D75" s="212" t="s">
        <v>107</v>
      </c>
      <c r="E75" s="212">
        <v>3</v>
      </c>
      <c r="F75" s="213">
        <v>3.44</v>
      </c>
      <c r="G75" s="212" t="s">
        <v>2325</v>
      </c>
      <c r="H75" s="213">
        <v>0.18</v>
      </c>
      <c r="I75" s="212" t="s">
        <v>440</v>
      </c>
      <c r="J75" s="214" t="str">
        <f>HYPERLINK($C$4&amp;"Teknik_Resim\1239851_KAYNAK.pdf","1239851_KAYNAK.pdf")</f>
        <v>1239851_KAYNAK.pdf</v>
      </c>
      <c r="K75" s="212" t="s">
        <v>2326</v>
      </c>
      <c r="L75" s="215">
        <v>10</v>
      </c>
      <c r="M75" s="212">
        <f t="shared" si="2"/>
        <v>1</v>
      </c>
      <c r="N75" s="216"/>
    </row>
    <row r="76" spans="1:14" ht="15" customHeight="1" x14ac:dyDescent="0.25">
      <c r="A76" s="212">
        <v>71</v>
      </c>
      <c r="B76" s="212">
        <v>385718</v>
      </c>
      <c r="C76" s="212" t="s">
        <v>268</v>
      </c>
      <c r="D76" s="212" t="s">
        <v>117</v>
      </c>
      <c r="E76" s="212">
        <v>5</v>
      </c>
      <c r="F76" s="213">
        <v>3.39</v>
      </c>
      <c r="G76" s="212" t="s">
        <v>2325</v>
      </c>
      <c r="H76" s="213">
        <v>0.1</v>
      </c>
      <c r="I76" s="212" t="s">
        <v>440</v>
      </c>
      <c r="J76" s="214" t="str">
        <f>HYPERLINK($C$4&amp;"Teknik_Resim\385718.pdf","385718.pdf")</f>
        <v>385718.pdf</v>
      </c>
      <c r="K76" s="212" t="s">
        <v>2326</v>
      </c>
      <c r="L76" s="215">
        <v>10</v>
      </c>
      <c r="M76" s="212">
        <f t="shared" si="2"/>
        <v>1</v>
      </c>
      <c r="N76" s="216"/>
    </row>
    <row r="77" spans="1:14" ht="15" customHeight="1" x14ac:dyDescent="0.25">
      <c r="A77" s="212">
        <v>72</v>
      </c>
      <c r="B77" s="212">
        <v>241116</v>
      </c>
      <c r="C77" s="212" t="s">
        <v>316</v>
      </c>
      <c r="D77" s="212" t="s">
        <v>119</v>
      </c>
      <c r="E77" s="212">
        <v>1</v>
      </c>
      <c r="F77" s="213">
        <v>3.33</v>
      </c>
      <c r="G77" s="212" t="s">
        <v>2325</v>
      </c>
      <c r="H77" s="213">
        <v>0.12</v>
      </c>
      <c r="I77" s="212" t="s">
        <v>440</v>
      </c>
      <c r="J77" s="214" t="str">
        <f>HYPERLINK($C$4&amp;"Teknik_Resim\241116_KAYNAK.pdf","241116_KAYNAK.pdf")</f>
        <v>241116_KAYNAK.pdf</v>
      </c>
      <c r="K77" s="212" t="s">
        <v>2326</v>
      </c>
      <c r="L77" s="215">
        <v>10</v>
      </c>
      <c r="M77" s="212">
        <f t="shared" si="2"/>
        <v>1</v>
      </c>
      <c r="N77" s="216"/>
    </row>
    <row r="78" spans="1:14" ht="15" customHeight="1" x14ac:dyDescent="0.25">
      <c r="A78" s="212">
        <v>73</v>
      </c>
      <c r="B78" s="212">
        <v>106261</v>
      </c>
      <c r="C78" s="212" t="s">
        <v>188</v>
      </c>
      <c r="D78" s="212" t="s">
        <v>119</v>
      </c>
      <c r="E78" s="212">
        <v>55</v>
      </c>
      <c r="F78" s="213">
        <v>3.25</v>
      </c>
      <c r="G78" s="212" t="s">
        <v>2325</v>
      </c>
      <c r="H78" s="213">
        <v>0.14000000000000001</v>
      </c>
      <c r="I78" s="212" t="s">
        <v>440</v>
      </c>
      <c r="J78" s="214" t="str">
        <f>HYPERLINK($C$4&amp;"Teknik_Resim\106261.pdf","106261.pdf")</f>
        <v>106261.pdf</v>
      </c>
      <c r="K78" s="212" t="s">
        <v>2326</v>
      </c>
      <c r="L78" s="215">
        <v>6</v>
      </c>
      <c r="M78" s="212">
        <f t="shared" si="2"/>
        <v>10</v>
      </c>
      <c r="N78" s="216"/>
    </row>
    <row r="79" spans="1:14" ht="15" customHeight="1" x14ac:dyDescent="0.25">
      <c r="A79" s="212">
        <v>74</v>
      </c>
      <c r="B79" s="212">
        <v>213350</v>
      </c>
      <c r="C79" s="212" t="s">
        <v>210</v>
      </c>
      <c r="D79" s="212" t="s">
        <v>99</v>
      </c>
      <c r="E79" s="212">
        <v>27</v>
      </c>
      <c r="F79" s="213">
        <v>3.19</v>
      </c>
      <c r="G79" s="212" t="s">
        <v>2325</v>
      </c>
      <c r="H79" s="213">
        <v>0.25</v>
      </c>
      <c r="I79" s="212" t="s">
        <v>440</v>
      </c>
      <c r="J79" s="214" t="str">
        <f>HYPERLINK($C$4&amp;"Teknik_Resim\213350.pdf","213350.pdf")</f>
        <v>213350.pdf</v>
      </c>
      <c r="K79" s="212" t="s">
        <v>2326</v>
      </c>
      <c r="L79" s="215">
        <v>6</v>
      </c>
      <c r="M79" s="212">
        <f t="shared" si="2"/>
        <v>5</v>
      </c>
      <c r="N79" s="216"/>
    </row>
    <row r="80" spans="1:14" ht="15" customHeight="1" x14ac:dyDescent="0.25">
      <c r="A80" s="212">
        <v>75</v>
      </c>
      <c r="B80" s="212">
        <v>448618</v>
      </c>
      <c r="C80" s="212" t="s">
        <v>212</v>
      </c>
      <c r="D80" s="212" t="s">
        <v>194</v>
      </c>
      <c r="E80" s="212">
        <v>19</v>
      </c>
      <c r="F80" s="213">
        <v>3.17</v>
      </c>
      <c r="G80" s="212" t="s">
        <v>2325</v>
      </c>
      <c r="H80" s="213">
        <v>0.16</v>
      </c>
      <c r="I80" s="212" t="s">
        <v>440</v>
      </c>
      <c r="J80" s="214" t="str">
        <f>HYPERLINK($C$4&amp;"Teknik_Resim\448618.pdf","448618.pdf")</f>
        <v>448618.pdf</v>
      </c>
      <c r="K80" s="212" t="s">
        <v>2326</v>
      </c>
      <c r="L80" s="215">
        <v>4</v>
      </c>
      <c r="M80" s="212">
        <f t="shared" si="2"/>
        <v>5</v>
      </c>
      <c r="N80" s="216"/>
    </row>
    <row r="81" spans="1:14" ht="15" customHeight="1" x14ac:dyDescent="0.25">
      <c r="A81" s="212">
        <v>76</v>
      </c>
      <c r="B81" s="212">
        <v>106253</v>
      </c>
      <c r="C81" s="212" t="s">
        <v>187</v>
      </c>
      <c r="D81" s="212" t="s">
        <v>119</v>
      </c>
      <c r="E81" s="212">
        <v>50</v>
      </c>
      <c r="F81" s="213">
        <v>3.12</v>
      </c>
      <c r="G81" s="212" t="s">
        <v>2325</v>
      </c>
      <c r="H81" s="213">
        <v>0.13</v>
      </c>
      <c r="I81" s="212" t="s">
        <v>440</v>
      </c>
      <c r="J81" s="214" t="str">
        <f>HYPERLINK($C$4&amp;"Teknik_Resim\106253.pdf","106253.pdf")</f>
        <v>106253.pdf</v>
      </c>
      <c r="K81" s="212" t="s">
        <v>2326</v>
      </c>
      <c r="L81" s="215">
        <v>10</v>
      </c>
      <c r="M81" s="212">
        <f t="shared" si="2"/>
        <v>5</v>
      </c>
      <c r="N81" s="216"/>
    </row>
    <row r="82" spans="1:14" ht="15" customHeight="1" x14ac:dyDescent="0.25">
      <c r="A82" s="212">
        <v>77</v>
      </c>
      <c r="B82" s="212">
        <v>106943</v>
      </c>
      <c r="C82" s="212" t="s">
        <v>223</v>
      </c>
      <c r="D82" s="212" t="s">
        <v>107</v>
      </c>
      <c r="E82" s="212">
        <v>16</v>
      </c>
      <c r="F82" s="213">
        <v>2.95</v>
      </c>
      <c r="G82" s="212" t="s">
        <v>2325</v>
      </c>
      <c r="H82" s="213">
        <v>0.09</v>
      </c>
      <c r="I82" s="212" t="s">
        <v>440</v>
      </c>
      <c r="J82" s="214" t="str">
        <f>HYPERLINK($C$4&amp;"Teknik_Resim\106943.pdf","106943.pdf")</f>
        <v>106943.pdf</v>
      </c>
      <c r="K82" s="212" t="s">
        <v>2326</v>
      </c>
      <c r="L82" s="215">
        <v>10</v>
      </c>
      <c r="M82" s="212">
        <f t="shared" si="2"/>
        <v>2</v>
      </c>
      <c r="N82" s="216"/>
    </row>
    <row r="83" spans="1:14" ht="15" customHeight="1" x14ac:dyDescent="0.25">
      <c r="A83" s="212">
        <v>78</v>
      </c>
      <c r="B83" s="212">
        <v>1252928</v>
      </c>
      <c r="C83" s="212" t="s">
        <v>146</v>
      </c>
      <c r="D83" s="212" t="s">
        <v>99</v>
      </c>
      <c r="E83" s="212">
        <v>5</v>
      </c>
      <c r="F83" s="213">
        <v>2.82</v>
      </c>
      <c r="G83" s="212" t="s">
        <v>2325</v>
      </c>
      <c r="H83" s="213">
        <v>0.14000000000000001</v>
      </c>
      <c r="I83" s="212" t="s">
        <v>440</v>
      </c>
      <c r="J83" s="214" t="str">
        <f>HYPERLINK($C$4&amp;"Teknik_Resim\1252928_KAYNAK.pdf","1252928_KAYNAK.pdf")</f>
        <v>1252928_KAYNAK.pdf</v>
      </c>
      <c r="K83" s="212" t="s">
        <v>2326</v>
      </c>
      <c r="L83" s="215">
        <v>6</v>
      </c>
      <c r="M83" s="212">
        <f t="shared" si="2"/>
        <v>1</v>
      </c>
      <c r="N83" s="216"/>
    </row>
    <row r="84" spans="1:14" ht="15" customHeight="1" x14ac:dyDescent="0.25">
      <c r="A84" s="212">
        <v>79</v>
      </c>
      <c r="B84" s="212">
        <v>448594</v>
      </c>
      <c r="C84" s="212" t="s">
        <v>146</v>
      </c>
      <c r="D84" s="212" t="s">
        <v>117</v>
      </c>
      <c r="E84" s="212">
        <v>95</v>
      </c>
      <c r="F84" s="213">
        <v>2.82</v>
      </c>
      <c r="G84" s="212" t="s">
        <v>2325</v>
      </c>
      <c r="H84" s="213">
        <v>0.14000000000000001</v>
      </c>
      <c r="I84" s="212" t="s">
        <v>440</v>
      </c>
      <c r="J84" s="214" t="str">
        <f>HYPERLINK($C$4&amp;"Teknik_Resim\448594_KAYNAK.pdf","448594_KAYNAK.pdf")</f>
        <v>448594_KAYNAK.pdf</v>
      </c>
      <c r="K84" s="212" t="s">
        <v>2326</v>
      </c>
      <c r="L84" s="215">
        <v>6</v>
      </c>
      <c r="M84" s="212">
        <f t="shared" si="2"/>
        <v>16</v>
      </c>
      <c r="N84" s="216"/>
    </row>
    <row r="85" spans="1:14" ht="15" customHeight="1" x14ac:dyDescent="0.25">
      <c r="A85" s="212">
        <v>80</v>
      </c>
      <c r="B85" s="212">
        <v>1280573</v>
      </c>
      <c r="C85" s="212" t="s">
        <v>288</v>
      </c>
      <c r="D85" s="212" t="s">
        <v>99</v>
      </c>
      <c r="E85" s="212">
        <v>5</v>
      </c>
      <c r="F85" s="213">
        <v>2.75</v>
      </c>
      <c r="G85" s="212" t="s">
        <v>2325</v>
      </c>
      <c r="H85" s="213">
        <v>0.08</v>
      </c>
      <c r="I85" s="212" t="s">
        <v>440</v>
      </c>
      <c r="J85" s="214" t="str">
        <f>HYPERLINK($C$4&amp;"Teknik_Resim\1280573.pdf","1280573.pdf")</f>
        <v>1280573.pdf</v>
      </c>
      <c r="K85" s="212" t="s">
        <v>2326</v>
      </c>
      <c r="L85" s="215">
        <v>10</v>
      </c>
      <c r="M85" s="212">
        <f t="shared" si="2"/>
        <v>1</v>
      </c>
      <c r="N85" s="216"/>
    </row>
    <row r="86" spans="1:14" ht="15" customHeight="1" x14ac:dyDescent="0.25">
      <c r="A86" s="212">
        <v>81</v>
      </c>
      <c r="B86" s="212">
        <v>1272015</v>
      </c>
      <c r="C86" s="212" t="s">
        <v>287</v>
      </c>
      <c r="D86" s="212" t="s">
        <v>99</v>
      </c>
      <c r="E86" s="212">
        <v>5</v>
      </c>
      <c r="F86" s="213">
        <v>2.75</v>
      </c>
      <c r="G86" s="212" t="s">
        <v>2325</v>
      </c>
      <c r="H86" s="213">
        <v>0.08</v>
      </c>
      <c r="I86" s="212" t="s">
        <v>440</v>
      </c>
      <c r="J86" s="214" t="str">
        <f>HYPERLINK($C$4&amp;"Teknik_Resim\1272015.pdf","1272015.pdf")</f>
        <v>1272015.pdf</v>
      </c>
      <c r="K86" s="212" t="s">
        <v>2326</v>
      </c>
      <c r="L86" s="215">
        <v>10</v>
      </c>
      <c r="M86" s="212">
        <f t="shared" si="2"/>
        <v>1</v>
      </c>
      <c r="N86" s="216"/>
    </row>
    <row r="87" spans="1:14" ht="15" customHeight="1" x14ac:dyDescent="0.25">
      <c r="A87" s="212">
        <v>82</v>
      </c>
      <c r="B87" s="212">
        <v>147778</v>
      </c>
      <c r="C87" s="212" t="s">
        <v>260</v>
      </c>
      <c r="D87" s="212" t="s">
        <v>107</v>
      </c>
      <c r="E87" s="212">
        <v>13</v>
      </c>
      <c r="F87" s="213">
        <v>2.74</v>
      </c>
      <c r="G87" s="212" t="s">
        <v>2325</v>
      </c>
      <c r="H87" s="213">
        <v>0.13</v>
      </c>
      <c r="I87" s="212" t="s">
        <v>440</v>
      </c>
      <c r="J87" s="214" t="str">
        <f>HYPERLINK($C$4&amp;"Teknik_Resim\147778.pdf","147778.pdf")</f>
        <v>147778.pdf</v>
      </c>
      <c r="K87" s="212" t="s">
        <v>2326</v>
      </c>
      <c r="L87" s="215">
        <v>10</v>
      </c>
      <c r="M87" s="212">
        <f t="shared" si="2"/>
        <v>2</v>
      </c>
      <c r="N87" s="216"/>
    </row>
    <row r="88" spans="1:14" ht="15" customHeight="1" x14ac:dyDescent="0.25">
      <c r="A88" s="212">
        <v>83</v>
      </c>
      <c r="B88" s="212">
        <v>106544</v>
      </c>
      <c r="C88" s="212" t="s">
        <v>136</v>
      </c>
      <c r="D88" s="212" t="s">
        <v>137</v>
      </c>
      <c r="E88" s="212">
        <v>176</v>
      </c>
      <c r="F88" s="213">
        <v>2.73</v>
      </c>
      <c r="G88" s="212" t="s">
        <v>2325</v>
      </c>
      <c r="H88" s="213">
        <v>0.09</v>
      </c>
      <c r="I88" s="212" t="s">
        <v>440</v>
      </c>
      <c r="J88" s="214" t="str">
        <f>HYPERLINK($C$4&amp;"Teknik_Resim\106544_KAYNAK.pdf","106544_KAYNAK.pdf")</f>
        <v>106544_KAYNAK.pdf</v>
      </c>
      <c r="K88" s="212" t="s">
        <v>2326</v>
      </c>
      <c r="L88" s="215">
        <v>10</v>
      </c>
      <c r="M88" s="212">
        <f t="shared" si="2"/>
        <v>18</v>
      </c>
      <c r="N88" s="216"/>
    </row>
    <row r="89" spans="1:14" ht="15" customHeight="1" x14ac:dyDescent="0.25">
      <c r="A89" s="212">
        <v>84</v>
      </c>
      <c r="B89" s="212">
        <v>108529</v>
      </c>
      <c r="C89" s="212" t="s">
        <v>278</v>
      </c>
      <c r="D89" s="212" t="s">
        <v>119</v>
      </c>
      <c r="E89" s="212">
        <v>5</v>
      </c>
      <c r="F89" s="213">
        <v>2.67</v>
      </c>
      <c r="G89" s="212" t="s">
        <v>2325</v>
      </c>
      <c r="H89" s="213">
        <v>0.09</v>
      </c>
      <c r="I89" s="212" t="s">
        <v>440</v>
      </c>
      <c r="J89" s="214" t="str">
        <f>HYPERLINK($C$4&amp;"Teknik_Resim\108529_KAYNAK.pdf","108529_KAYNAK.pdf")</f>
        <v>108529_KAYNAK.pdf</v>
      </c>
      <c r="K89" s="212" t="s">
        <v>2326</v>
      </c>
      <c r="L89" s="215">
        <v>10</v>
      </c>
      <c r="M89" s="212">
        <f t="shared" si="2"/>
        <v>1</v>
      </c>
      <c r="N89" s="216"/>
    </row>
    <row r="90" spans="1:14" ht="15" customHeight="1" x14ac:dyDescent="0.25">
      <c r="A90" s="212">
        <v>85</v>
      </c>
      <c r="B90" s="212">
        <v>241377</v>
      </c>
      <c r="C90" s="212" t="s">
        <v>291</v>
      </c>
      <c r="D90" s="212" t="s">
        <v>117</v>
      </c>
      <c r="E90" s="212">
        <v>1</v>
      </c>
      <c r="F90" s="213">
        <v>2.63</v>
      </c>
      <c r="G90" s="212" t="s">
        <v>2325</v>
      </c>
      <c r="H90" s="213">
        <v>0.24</v>
      </c>
      <c r="I90" s="212" t="s">
        <v>440</v>
      </c>
      <c r="J90" s="214" t="str">
        <f>HYPERLINK($C$4&amp;"Teknik_Resim\241377 HORTUM SARMA DAR.pdf","241377 HORTUM SARMA DAR.pdf")</f>
        <v>241377 HORTUM SARMA DAR.pdf</v>
      </c>
      <c r="K90" s="212" t="s">
        <v>2326</v>
      </c>
      <c r="L90" s="215">
        <v>3</v>
      </c>
      <c r="M90" s="212">
        <f t="shared" si="2"/>
        <v>1</v>
      </c>
      <c r="N90" s="216"/>
    </row>
    <row r="91" spans="1:14" ht="15" customHeight="1" x14ac:dyDescent="0.25">
      <c r="A91" s="212">
        <v>86</v>
      </c>
      <c r="B91" s="212">
        <v>570812</v>
      </c>
      <c r="C91" s="212" t="s">
        <v>138</v>
      </c>
      <c r="D91" s="212" t="s">
        <v>139</v>
      </c>
      <c r="E91" s="212">
        <v>81</v>
      </c>
      <c r="F91" s="213">
        <v>2.56</v>
      </c>
      <c r="G91" s="212" t="s">
        <v>2325</v>
      </c>
      <c r="H91" s="213">
        <v>0.16</v>
      </c>
      <c r="I91" s="212" t="s">
        <v>440</v>
      </c>
      <c r="J91" s="214" t="str">
        <f>HYPERLINK($C$4&amp;"Teknik_Resim\570812_KAYNAK.pdf","570812_KAYNAK.pdf")</f>
        <v>570812_KAYNAK.pdf</v>
      </c>
      <c r="K91" s="212" t="s">
        <v>2326</v>
      </c>
      <c r="L91" s="215">
        <v>4</v>
      </c>
      <c r="M91" s="212">
        <f t="shared" si="2"/>
        <v>21</v>
      </c>
      <c r="N91" s="216"/>
    </row>
    <row r="92" spans="1:14" ht="15" customHeight="1" x14ac:dyDescent="0.25">
      <c r="A92" s="212">
        <v>87</v>
      </c>
      <c r="B92" s="212">
        <v>235233</v>
      </c>
      <c r="C92" s="212" t="s">
        <v>254</v>
      </c>
      <c r="D92" s="212" t="s">
        <v>255</v>
      </c>
      <c r="E92" s="212">
        <v>10</v>
      </c>
      <c r="F92" s="213">
        <v>2.44</v>
      </c>
      <c r="G92" s="212" t="s">
        <v>2325</v>
      </c>
      <c r="H92" s="213">
        <v>0.1</v>
      </c>
      <c r="I92" s="212" t="s">
        <v>440</v>
      </c>
      <c r="J92" s="214" t="str">
        <f>HYPERLINK($C$4&amp;"Teknik_Resim\235233.pdf","235233.pdf")</f>
        <v>235233.pdf</v>
      </c>
      <c r="K92" s="212" t="s">
        <v>2326</v>
      </c>
      <c r="L92" s="215">
        <v>10</v>
      </c>
      <c r="M92" s="212">
        <f t="shared" si="2"/>
        <v>1</v>
      </c>
      <c r="N92" s="216"/>
    </row>
    <row r="93" spans="1:14" ht="15" customHeight="1" x14ac:dyDescent="0.25">
      <c r="A93" s="212">
        <v>88</v>
      </c>
      <c r="B93" s="212">
        <v>681801</v>
      </c>
      <c r="C93" s="212" t="s">
        <v>259</v>
      </c>
      <c r="D93" s="212" t="s">
        <v>117</v>
      </c>
      <c r="E93" s="212">
        <v>5</v>
      </c>
      <c r="F93" s="213">
        <v>2.13</v>
      </c>
      <c r="G93" s="212" t="s">
        <v>2325</v>
      </c>
      <c r="H93" s="213">
        <v>0.18</v>
      </c>
      <c r="I93" s="212" t="s">
        <v>440</v>
      </c>
      <c r="J93" s="214" t="str">
        <f>HYPERLINK($C$4&amp;"Teknik_Resim\681801_KAYNAK.pdf","681801_KAYNAK.pdf")</f>
        <v>681801_KAYNAK.pdf</v>
      </c>
      <c r="K93" s="212" t="s">
        <v>2326</v>
      </c>
      <c r="L93" s="215">
        <v>10</v>
      </c>
      <c r="M93" s="212">
        <f t="shared" si="2"/>
        <v>1</v>
      </c>
      <c r="N93" s="216"/>
    </row>
    <row r="94" spans="1:14" ht="15" customHeight="1" x14ac:dyDescent="0.25">
      <c r="A94" s="212">
        <v>89</v>
      </c>
      <c r="B94" s="212">
        <v>681786</v>
      </c>
      <c r="C94" s="212" t="s">
        <v>258</v>
      </c>
      <c r="D94" s="212" t="s">
        <v>99</v>
      </c>
      <c r="E94" s="212">
        <v>5</v>
      </c>
      <c r="F94" s="213">
        <v>2.13</v>
      </c>
      <c r="G94" s="212" t="s">
        <v>2325</v>
      </c>
      <c r="H94" s="213">
        <v>0.18</v>
      </c>
      <c r="I94" s="212" t="s">
        <v>440</v>
      </c>
      <c r="J94" s="214" t="str">
        <f>HYPERLINK($C$4&amp;"Teknik_Resim\681786_KAYNAK.pdf","681786_KAYNAK.pdf")</f>
        <v>681786_KAYNAK.pdf</v>
      </c>
      <c r="K94" s="212" t="s">
        <v>2326</v>
      </c>
      <c r="L94" s="215">
        <v>10</v>
      </c>
      <c r="M94" s="212">
        <f t="shared" si="2"/>
        <v>1</v>
      </c>
      <c r="N94" s="216"/>
    </row>
    <row r="95" spans="1:14" ht="15" customHeight="1" x14ac:dyDescent="0.25">
      <c r="A95" s="212">
        <v>90</v>
      </c>
      <c r="B95" s="212">
        <v>215629</v>
      </c>
      <c r="C95" s="212" t="s">
        <v>195</v>
      </c>
      <c r="D95" s="212" t="s">
        <v>107</v>
      </c>
      <c r="E95" s="212">
        <v>45</v>
      </c>
      <c r="F95" s="213">
        <v>2.13</v>
      </c>
      <c r="G95" s="212" t="s">
        <v>2325</v>
      </c>
      <c r="H95" s="213">
        <v>0.09</v>
      </c>
      <c r="I95" s="212" t="s">
        <v>440</v>
      </c>
      <c r="J95" s="214" t="str">
        <f>HYPERLINK($C$4&amp;"Teknik_Resim\215629.pdf","215629.pdf")</f>
        <v>215629.pdf</v>
      </c>
      <c r="K95" s="212" t="s">
        <v>2326</v>
      </c>
      <c r="L95" s="215">
        <v>10</v>
      </c>
      <c r="M95" s="212">
        <f t="shared" si="2"/>
        <v>5</v>
      </c>
      <c r="N95" s="216"/>
    </row>
    <row r="96" spans="1:14" ht="15" customHeight="1" x14ac:dyDescent="0.25">
      <c r="A96" s="212">
        <v>91</v>
      </c>
      <c r="B96" s="212">
        <v>235262</v>
      </c>
      <c r="C96" s="212" t="s">
        <v>229</v>
      </c>
      <c r="D96" s="212" t="s">
        <v>107</v>
      </c>
      <c r="E96" s="212">
        <v>10</v>
      </c>
      <c r="F96" s="213">
        <v>2.0499999999999998</v>
      </c>
      <c r="G96" s="212" t="s">
        <v>2325</v>
      </c>
      <c r="H96" s="213">
        <v>0.08</v>
      </c>
      <c r="I96" s="212" t="s">
        <v>440</v>
      </c>
      <c r="J96" s="214" t="str">
        <f>HYPERLINK($C$4&amp;"Teknik_Resim\235262.pdf","235262.pdf")</f>
        <v>235262.pdf</v>
      </c>
      <c r="K96" s="212" t="s">
        <v>2326</v>
      </c>
      <c r="L96" s="215">
        <v>10</v>
      </c>
      <c r="M96" s="212">
        <f t="shared" si="2"/>
        <v>1</v>
      </c>
      <c r="N96" s="216"/>
    </row>
    <row r="97" spans="1:14" ht="15" customHeight="1" x14ac:dyDescent="0.25">
      <c r="A97" s="212">
        <v>92</v>
      </c>
      <c r="B97" s="212">
        <v>109984</v>
      </c>
      <c r="C97" s="212" t="s">
        <v>208</v>
      </c>
      <c r="D97" s="212" t="s">
        <v>93</v>
      </c>
      <c r="E97" s="212">
        <v>16</v>
      </c>
      <c r="F97" s="213">
        <v>2.04</v>
      </c>
      <c r="G97" s="212" t="s">
        <v>2325</v>
      </c>
      <c r="H97" s="213">
        <v>0.08</v>
      </c>
      <c r="I97" s="212" t="s">
        <v>440</v>
      </c>
      <c r="J97" s="214" t="str">
        <f>HYPERLINK($C$4&amp;"Teknik_Resim\109984.pdf","109984.pdf")</f>
        <v>109984.pdf</v>
      </c>
      <c r="K97" s="212" t="s">
        <v>2326</v>
      </c>
      <c r="L97" s="215">
        <v>10</v>
      </c>
      <c r="M97" s="212">
        <f t="shared" si="2"/>
        <v>2</v>
      </c>
      <c r="N97" s="216"/>
    </row>
    <row r="98" spans="1:14" ht="15" customHeight="1" x14ac:dyDescent="0.25">
      <c r="A98" s="212">
        <v>93</v>
      </c>
      <c r="B98" s="212">
        <v>109920</v>
      </c>
      <c r="C98" s="212" t="s">
        <v>266</v>
      </c>
      <c r="D98" s="212" t="s">
        <v>93</v>
      </c>
      <c r="E98" s="212">
        <v>5</v>
      </c>
      <c r="F98" s="213">
        <v>1.99</v>
      </c>
      <c r="G98" s="212" t="s">
        <v>2325</v>
      </c>
      <c r="H98" s="213">
        <v>0.04</v>
      </c>
      <c r="I98" s="212" t="s">
        <v>440</v>
      </c>
      <c r="J98" s="214" t="str">
        <f>HYPERLINK($C$4&amp;"Teknik_Resim\109920.pdf","109920.pdf")</f>
        <v>109920.pdf</v>
      </c>
      <c r="K98" s="212" t="s">
        <v>2326</v>
      </c>
      <c r="L98" s="215">
        <v>15</v>
      </c>
      <c r="M98" s="212">
        <f t="shared" si="2"/>
        <v>1</v>
      </c>
      <c r="N98" s="216"/>
    </row>
    <row r="99" spans="1:14" ht="15" customHeight="1" x14ac:dyDescent="0.25">
      <c r="A99" s="212">
        <v>94</v>
      </c>
      <c r="B99" s="212">
        <v>1162344</v>
      </c>
      <c r="C99" s="212" t="s">
        <v>209</v>
      </c>
      <c r="D99" s="212" t="s">
        <v>139</v>
      </c>
      <c r="E99" s="212">
        <v>16</v>
      </c>
      <c r="F99" s="213">
        <v>1.83</v>
      </c>
      <c r="G99" s="212" t="s">
        <v>2325</v>
      </c>
      <c r="H99" s="213">
        <v>0.08</v>
      </c>
      <c r="I99" s="212" t="s">
        <v>440</v>
      </c>
      <c r="J99" s="214" t="str">
        <f>HYPERLINK($C$4&amp;"Teknik_Resim\1162344.pdf","1162344.pdf")</f>
        <v>1162344.pdf</v>
      </c>
      <c r="K99" s="212" t="s">
        <v>2326</v>
      </c>
      <c r="L99" s="215">
        <v>10</v>
      </c>
      <c r="M99" s="212">
        <f t="shared" si="2"/>
        <v>2</v>
      </c>
      <c r="N99" s="216"/>
    </row>
    <row r="100" spans="1:14" ht="15" customHeight="1" x14ac:dyDescent="0.25">
      <c r="A100" s="212">
        <v>95</v>
      </c>
      <c r="B100" s="212">
        <v>235221</v>
      </c>
      <c r="C100" s="212" t="s">
        <v>248</v>
      </c>
      <c r="D100" s="212" t="s">
        <v>107</v>
      </c>
      <c r="E100" s="212">
        <v>10</v>
      </c>
      <c r="F100" s="213">
        <v>1.8</v>
      </c>
      <c r="G100" s="212" t="s">
        <v>2325</v>
      </c>
      <c r="H100" s="213">
        <v>7.0000000000000007E-2</v>
      </c>
      <c r="I100" s="212" t="s">
        <v>440</v>
      </c>
      <c r="J100" s="214" t="str">
        <f>HYPERLINK($C$4&amp;"Teknik_Resim\235221.pdf","235221.pdf")</f>
        <v>235221.pdf</v>
      </c>
      <c r="K100" s="212" t="s">
        <v>2326</v>
      </c>
      <c r="L100" s="215">
        <v>10</v>
      </c>
      <c r="M100" s="212">
        <f t="shared" si="2"/>
        <v>1</v>
      </c>
      <c r="N100" s="216"/>
    </row>
    <row r="101" spans="1:14" ht="15" customHeight="1" x14ac:dyDescent="0.25">
      <c r="A101" s="212">
        <v>96</v>
      </c>
      <c r="B101" s="212">
        <v>106223</v>
      </c>
      <c r="C101" s="212" t="s">
        <v>155</v>
      </c>
      <c r="D101" s="212" t="s">
        <v>156</v>
      </c>
      <c r="E101" s="212">
        <v>106</v>
      </c>
      <c r="F101" s="213">
        <v>1.8</v>
      </c>
      <c r="G101" s="212" t="s">
        <v>2325</v>
      </c>
      <c r="H101" s="213">
        <v>0.04</v>
      </c>
      <c r="I101" s="212" t="s">
        <v>440</v>
      </c>
      <c r="J101" s="214" t="str">
        <f>HYPERLINK($C$4&amp;"Teknik_Resim\106223.pdf","106223.pdf")</f>
        <v>106223.pdf</v>
      </c>
      <c r="K101" s="212" t="s">
        <v>2326</v>
      </c>
      <c r="L101" s="215">
        <v>15</v>
      </c>
      <c r="M101" s="212">
        <f t="shared" si="2"/>
        <v>8</v>
      </c>
      <c r="N101" s="216"/>
    </row>
    <row r="102" spans="1:14" ht="15" customHeight="1" x14ac:dyDescent="0.25">
      <c r="A102" s="212">
        <v>97</v>
      </c>
      <c r="B102" s="212">
        <v>388529</v>
      </c>
      <c r="C102" s="212" t="s">
        <v>214</v>
      </c>
      <c r="D102" s="212" t="s">
        <v>117</v>
      </c>
      <c r="E102" s="212">
        <v>20</v>
      </c>
      <c r="F102" s="213">
        <v>1.78</v>
      </c>
      <c r="G102" s="212" t="s">
        <v>2325</v>
      </c>
      <c r="H102" s="213">
        <v>7.0000000000000007E-2</v>
      </c>
      <c r="I102" s="212" t="s">
        <v>440</v>
      </c>
      <c r="J102" s="214" t="str">
        <f>HYPERLINK($C$4&amp;"Teknik_Resim\388529.pdf","388529.pdf")</f>
        <v>388529.pdf</v>
      </c>
      <c r="K102" s="212" t="s">
        <v>2326</v>
      </c>
      <c r="L102" s="215">
        <v>10</v>
      </c>
      <c r="M102" s="212">
        <f t="shared" ref="M102:M133" si="3">IF(ISNUMBER(L102),IF(L102&gt;0,ROUNDUP(E102/L102,0),""),"")</f>
        <v>2</v>
      </c>
      <c r="N102" s="216"/>
    </row>
    <row r="103" spans="1:14" ht="15" customHeight="1" x14ac:dyDescent="0.25">
      <c r="A103" s="212">
        <v>98</v>
      </c>
      <c r="B103" s="212">
        <v>428929</v>
      </c>
      <c r="C103" s="212" t="s">
        <v>196</v>
      </c>
      <c r="D103" s="212" t="s">
        <v>107</v>
      </c>
      <c r="E103" s="212">
        <v>7</v>
      </c>
      <c r="F103" s="213">
        <v>1.64</v>
      </c>
      <c r="G103" s="212" t="s">
        <v>2325</v>
      </c>
      <c r="H103" s="213">
        <v>0.14000000000000001</v>
      </c>
      <c r="I103" s="212" t="s">
        <v>440</v>
      </c>
      <c r="J103" s="214" t="str">
        <f>HYPERLINK($C$4&amp;"Teknik_Resim\428929.pdf","428929.pdf")</f>
        <v>428929.pdf</v>
      </c>
      <c r="K103" s="212" t="s">
        <v>2326</v>
      </c>
      <c r="L103" s="215">
        <v>10</v>
      </c>
      <c r="M103" s="212">
        <f t="shared" si="3"/>
        <v>1</v>
      </c>
      <c r="N103" s="216"/>
    </row>
    <row r="104" spans="1:14" ht="15" customHeight="1" x14ac:dyDescent="0.25">
      <c r="A104" s="212">
        <v>99</v>
      </c>
      <c r="B104" s="212">
        <v>316188</v>
      </c>
      <c r="C104" s="212" t="s">
        <v>303</v>
      </c>
      <c r="D104" s="212" t="s">
        <v>107</v>
      </c>
      <c r="E104" s="212">
        <v>2</v>
      </c>
      <c r="F104" s="213">
        <v>1.62</v>
      </c>
      <c r="G104" s="212" t="s">
        <v>2325</v>
      </c>
      <c r="H104" s="213">
        <v>0.08</v>
      </c>
      <c r="I104" s="212" t="s">
        <v>440</v>
      </c>
      <c r="J104" s="214" t="str">
        <f>HYPERLINK($C$4&amp;"Teknik_Resim\316188_Elektrikli Valf Baglanti Saci Kaynak.pdf","316188_Elektrikli Valf Baglanti Saci Kaynak.pdf")</f>
        <v>316188_Elektrikli Valf Baglanti Saci Kaynak.pdf</v>
      </c>
      <c r="K104" s="212" t="s">
        <v>2326</v>
      </c>
      <c r="L104" s="215">
        <v>10</v>
      </c>
      <c r="M104" s="212">
        <f t="shared" si="3"/>
        <v>1</v>
      </c>
      <c r="N104" s="216"/>
    </row>
    <row r="105" spans="1:14" ht="15" customHeight="1" x14ac:dyDescent="0.25">
      <c r="A105" s="212">
        <v>100</v>
      </c>
      <c r="B105" s="212">
        <v>109670</v>
      </c>
      <c r="C105" s="212" t="s">
        <v>228</v>
      </c>
      <c r="D105" s="212" t="s">
        <v>119</v>
      </c>
      <c r="E105" s="212">
        <v>16</v>
      </c>
      <c r="F105" s="213">
        <v>1.61</v>
      </c>
      <c r="G105" s="212" t="s">
        <v>2325</v>
      </c>
      <c r="H105" s="213">
        <v>0.08</v>
      </c>
      <c r="I105" s="212" t="s">
        <v>440</v>
      </c>
      <c r="J105" s="214" t="str">
        <f>HYPERLINK($C$4&amp;"Teknik_Resim\109670.pdf","109670.pdf")</f>
        <v>109670.pdf</v>
      </c>
      <c r="K105" s="212" t="s">
        <v>2326</v>
      </c>
      <c r="L105" s="215">
        <v>10</v>
      </c>
      <c r="M105" s="212">
        <f t="shared" si="3"/>
        <v>2</v>
      </c>
      <c r="N105" s="216"/>
    </row>
    <row r="106" spans="1:14" ht="15" customHeight="1" x14ac:dyDescent="0.25">
      <c r="A106" s="212">
        <v>101</v>
      </c>
      <c r="B106" s="212">
        <v>237104</v>
      </c>
      <c r="C106" s="212" t="s">
        <v>231</v>
      </c>
      <c r="D106" s="212" t="s">
        <v>156</v>
      </c>
      <c r="E106" s="212">
        <v>10</v>
      </c>
      <c r="F106" s="213">
        <v>1.58</v>
      </c>
      <c r="G106" s="212" t="s">
        <v>2325</v>
      </c>
      <c r="H106" s="213">
        <v>7.0000000000000007E-2</v>
      </c>
      <c r="I106" s="212" t="s">
        <v>440</v>
      </c>
      <c r="J106" s="214" t="str">
        <f>HYPERLINK($C$4&amp;"Teknik_Resim\237104.pdf","237104.pdf")</f>
        <v>237104.pdf</v>
      </c>
      <c r="K106" s="212" t="s">
        <v>2326</v>
      </c>
      <c r="L106" s="215">
        <v>10</v>
      </c>
      <c r="M106" s="212">
        <f t="shared" si="3"/>
        <v>1</v>
      </c>
      <c r="N106" s="216"/>
    </row>
    <row r="107" spans="1:14" ht="15" customHeight="1" x14ac:dyDescent="0.25">
      <c r="A107" s="212">
        <v>102</v>
      </c>
      <c r="B107" s="212">
        <v>108818</v>
      </c>
      <c r="C107" s="212" t="s">
        <v>264</v>
      </c>
      <c r="D107" s="212" t="s">
        <v>107</v>
      </c>
      <c r="E107" s="212">
        <v>5</v>
      </c>
      <c r="F107" s="213">
        <v>1.54</v>
      </c>
      <c r="G107" s="212" t="s">
        <v>2325</v>
      </c>
      <c r="H107" s="213">
        <v>7.0000000000000007E-2</v>
      </c>
      <c r="I107" s="212" t="s">
        <v>440</v>
      </c>
      <c r="J107" s="214" t="str">
        <f>HYPERLINK($C$4&amp;"Teknik_Resim\108818_KAYNAK.pdf","108818_KAYNAK.pdf")</f>
        <v>108818_KAYNAK.pdf</v>
      </c>
      <c r="K107" s="212" t="s">
        <v>2326</v>
      </c>
      <c r="L107" s="215">
        <v>10</v>
      </c>
      <c r="M107" s="212">
        <f t="shared" si="3"/>
        <v>1</v>
      </c>
      <c r="N107" s="216"/>
    </row>
    <row r="108" spans="1:14" ht="15" customHeight="1" x14ac:dyDescent="0.25">
      <c r="A108" s="212">
        <v>103</v>
      </c>
      <c r="B108" s="212">
        <v>235256</v>
      </c>
      <c r="C108" s="212" t="s">
        <v>249</v>
      </c>
      <c r="D108" s="212" t="s">
        <v>194</v>
      </c>
      <c r="E108" s="212">
        <v>10</v>
      </c>
      <c r="F108" s="213">
        <v>1.45</v>
      </c>
      <c r="G108" s="212" t="s">
        <v>2325</v>
      </c>
      <c r="H108" s="213">
        <v>0.06</v>
      </c>
      <c r="I108" s="212" t="s">
        <v>440</v>
      </c>
      <c r="J108" s="214" t="str">
        <f>HYPERLINK($C$4&amp;"Teknik_Resim\235256.pdf","235256.pdf")</f>
        <v>235256.pdf</v>
      </c>
      <c r="K108" s="212" t="s">
        <v>2326</v>
      </c>
      <c r="L108" s="215">
        <v>10</v>
      </c>
      <c r="M108" s="212">
        <f t="shared" si="3"/>
        <v>1</v>
      </c>
      <c r="N108" s="216"/>
    </row>
    <row r="109" spans="1:14" ht="15" customHeight="1" x14ac:dyDescent="0.25">
      <c r="A109" s="212">
        <v>104</v>
      </c>
      <c r="B109" s="212">
        <v>236288</v>
      </c>
      <c r="C109" s="212" t="s">
        <v>193</v>
      </c>
      <c r="D109" s="212" t="s">
        <v>194</v>
      </c>
      <c r="E109" s="212">
        <v>40</v>
      </c>
      <c r="F109" s="213">
        <v>1.44</v>
      </c>
      <c r="G109" s="212" t="s">
        <v>2325</v>
      </c>
      <c r="H109" s="213">
        <v>0.06</v>
      </c>
      <c r="I109" s="212" t="s">
        <v>440</v>
      </c>
      <c r="J109" s="214" t="str">
        <f>HYPERLINK($C$4&amp;"Teknik_Resim\236288.pdf","236288.pdf")</f>
        <v>236288.pdf</v>
      </c>
      <c r="K109" s="212" t="s">
        <v>2326</v>
      </c>
      <c r="L109" s="215">
        <v>10</v>
      </c>
      <c r="M109" s="212">
        <f t="shared" si="3"/>
        <v>4</v>
      </c>
      <c r="N109" s="216"/>
    </row>
    <row r="110" spans="1:14" ht="15" customHeight="1" x14ac:dyDescent="0.25">
      <c r="A110" s="212">
        <v>105</v>
      </c>
      <c r="B110" s="212">
        <v>680921</v>
      </c>
      <c r="C110" s="212" t="s">
        <v>213</v>
      </c>
      <c r="D110" s="212" t="s">
        <v>139</v>
      </c>
      <c r="E110" s="212">
        <v>20</v>
      </c>
      <c r="F110" s="213">
        <v>1.44</v>
      </c>
      <c r="G110" s="212" t="s">
        <v>2325</v>
      </c>
      <c r="H110" s="213">
        <v>7.0000000000000007E-2</v>
      </c>
      <c r="I110" s="212" t="s">
        <v>440</v>
      </c>
      <c r="J110" s="214" t="str">
        <f>HYPERLINK($C$4&amp;"Teknik_Resim\680921.pdf","680921.pdf")</f>
        <v>680921.pdf</v>
      </c>
      <c r="K110" s="212" t="s">
        <v>2326</v>
      </c>
      <c r="L110" s="215">
        <v>10</v>
      </c>
      <c r="M110" s="212">
        <f t="shared" si="3"/>
        <v>2</v>
      </c>
      <c r="N110" s="216"/>
    </row>
    <row r="111" spans="1:14" ht="15" customHeight="1" x14ac:dyDescent="0.25">
      <c r="A111" s="212">
        <v>106</v>
      </c>
      <c r="B111" s="212">
        <v>378776</v>
      </c>
      <c r="C111" s="212" t="s">
        <v>154</v>
      </c>
      <c r="D111" s="212" t="s">
        <v>119</v>
      </c>
      <c r="E111" s="212">
        <v>114</v>
      </c>
      <c r="F111" s="213">
        <v>1.32</v>
      </c>
      <c r="G111" s="212" t="s">
        <v>2325</v>
      </c>
      <c r="H111" s="213">
        <v>0.02</v>
      </c>
      <c r="I111" s="212" t="s">
        <v>440</v>
      </c>
      <c r="J111" s="214" t="str">
        <f>HYPERLINK($C$4&amp;"Teknik_Resim\378776.pdf","378776.pdf")</f>
        <v>378776.pdf</v>
      </c>
      <c r="K111" s="212" t="s">
        <v>2326</v>
      </c>
      <c r="L111" s="215">
        <v>20</v>
      </c>
      <c r="M111" s="212">
        <f t="shared" si="3"/>
        <v>6</v>
      </c>
      <c r="N111" s="216"/>
    </row>
    <row r="112" spans="1:14" ht="15" customHeight="1" x14ac:dyDescent="0.25">
      <c r="A112" s="212">
        <v>107</v>
      </c>
      <c r="B112" s="212">
        <v>110030</v>
      </c>
      <c r="C112" s="212" t="s">
        <v>230</v>
      </c>
      <c r="D112" s="212" t="s">
        <v>194</v>
      </c>
      <c r="E112" s="212">
        <v>16</v>
      </c>
      <c r="F112" s="213">
        <v>1.25</v>
      </c>
      <c r="G112" s="212" t="s">
        <v>2325</v>
      </c>
      <c r="H112" s="213">
        <v>0.06</v>
      </c>
      <c r="I112" s="212" t="s">
        <v>440</v>
      </c>
      <c r="J112" s="214" t="str">
        <f>HYPERLINK($C$4&amp;"Teknik_Resim\110030.pdf","110030.pdf")</f>
        <v>110030.pdf</v>
      </c>
      <c r="K112" s="212" t="s">
        <v>2326</v>
      </c>
      <c r="L112" s="215">
        <v>10</v>
      </c>
      <c r="M112" s="212">
        <f t="shared" si="3"/>
        <v>2</v>
      </c>
      <c r="N112" s="216"/>
    </row>
    <row r="113" spans="1:14" ht="15" customHeight="1" x14ac:dyDescent="0.25">
      <c r="A113" s="212">
        <v>108</v>
      </c>
      <c r="B113" s="212">
        <v>400994</v>
      </c>
      <c r="C113" s="212" t="s">
        <v>109</v>
      </c>
      <c r="D113" s="212" t="s">
        <v>110</v>
      </c>
      <c r="E113" s="212">
        <v>332</v>
      </c>
      <c r="F113" s="213">
        <v>1.06</v>
      </c>
      <c r="G113" s="212" t="s">
        <v>2325</v>
      </c>
      <c r="H113" s="213">
        <v>0.05</v>
      </c>
      <c r="I113" s="212" t="s">
        <v>440</v>
      </c>
      <c r="J113" s="214" t="str">
        <f>HYPERLINK($C$4&amp;"Teknik_Resim\400994.pdf","400994.pdf")</f>
        <v>400994.pdf</v>
      </c>
      <c r="K113" s="212" t="s">
        <v>2326</v>
      </c>
      <c r="L113" s="215">
        <v>20</v>
      </c>
      <c r="M113" s="212">
        <f t="shared" si="3"/>
        <v>17</v>
      </c>
      <c r="N113" s="216"/>
    </row>
    <row r="114" spans="1:14" ht="15" customHeight="1" x14ac:dyDescent="0.25">
      <c r="A114" s="212">
        <v>109</v>
      </c>
      <c r="B114" s="212">
        <v>657844</v>
      </c>
      <c r="C114" s="212" t="s">
        <v>301</v>
      </c>
      <c r="D114" s="212" t="s">
        <v>139</v>
      </c>
      <c r="E114" s="212">
        <v>2</v>
      </c>
      <c r="F114" s="213">
        <v>1</v>
      </c>
      <c r="G114" s="212" t="s">
        <v>2325</v>
      </c>
      <c r="H114" s="213">
        <v>0.06</v>
      </c>
      <c r="I114" s="212" t="s">
        <v>440</v>
      </c>
      <c r="J114" s="214" t="str">
        <f>HYPERLINK($C$4&amp;"Teknik_Resim\657844_KAYNAK.pdf","657844_KAYNAK.pdf")</f>
        <v>657844_KAYNAK.pdf</v>
      </c>
      <c r="K114" s="212" t="s">
        <v>2326</v>
      </c>
      <c r="L114" s="215">
        <v>10</v>
      </c>
      <c r="M114" s="212">
        <f t="shared" si="3"/>
        <v>1</v>
      </c>
      <c r="N114" s="216"/>
    </row>
    <row r="115" spans="1:14" ht="15" customHeight="1" x14ac:dyDescent="0.25">
      <c r="A115" s="212">
        <v>110</v>
      </c>
      <c r="B115" s="212">
        <v>681073</v>
      </c>
      <c r="C115" s="212" t="s">
        <v>140</v>
      </c>
      <c r="D115" s="212" t="s">
        <v>99</v>
      </c>
      <c r="E115" s="212">
        <v>244</v>
      </c>
      <c r="F115" s="213">
        <v>0.92</v>
      </c>
      <c r="G115" s="212" t="s">
        <v>2325</v>
      </c>
      <c r="H115" s="213">
        <v>0.04</v>
      </c>
      <c r="I115" s="212" t="s">
        <v>440</v>
      </c>
      <c r="J115" s="214" t="str">
        <f>HYPERLINK($C$4&amp;"Teknik_Resim\681073_KAYNAK.pdf","681073_KAYNAK.pdf")</f>
        <v>681073_KAYNAK.pdf</v>
      </c>
      <c r="K115" s="212" t="s">
        <v>2326</v>
      </c>
      <c r="L115" s="215">
        <v>20</v>
      </c>
      <c r="M115" s="212">
        <f t="shared" si="3"/>
        <v>13</v>
      </c>
      <c r="N115" s="216"/>
    </row>
    <row r="116" spans="1:14" ht="15" customHeight="1" x14ac:dyDescent="0.25">
      <c r="A116" s="212">
        <v>111</v>
      </c>
      <c r="B116" s="212">
        <v>709898</v>
      </c>
      <c r="C116" s="212" t="s">
        <v>163</v>
      </c>
      <c r="D116" s="212" t="s">
        <v>99</v>
      </c>
      <c r="E116" s="212">
        <v>108</v>
      </c>
      <c r="F116" s="213">
        <v>0.92</v>
      </c>
      <c r="G116" s="212" t="s">
        <v>2325</v>
      </c>
      <c r="H116" s="213">
        <v>0.03</v>
      </c>
      <c r="I116" s="212" t="s">
        <v>440</v>
      </c>
      <c r="J116" s="214" t="str">
        <f>HYPERLINK($C$4&amp;"Teknik_Resim\709898_KAYNAK.pdf","709898_KAYNAK.pdf")</f>
        <v>709898_KAYNAK.pdf</v>
      </c>
      <c r="K116" s="212" t="s">
        <v>2326</v>
      </c>
      <c r="L116" s="215">
        <v>20</v>
      </c>
      <c r="M116" s="212">
        <f t="shared" si="3"/>
        <v>6</v>
      </c>
      <c r="N116" s="216"/>
    </row>
    <row r="117" spans="1:14" ht="15" customHeight="1" x14ac:dyDescent="0.25">
      <c r="A117" s="212">
        <v>112</v>
      </c>
      <c r="B117" s="212">
        <v>543414</v>
      </c>
      <c r="C117" s="212" t="s">
        <v>200</v>
      </c>
      <c r="D117" s="212" t="s">
        <v>139</v>
      </c>
      <c r="E117" s="212">
        <v>56</v>
      </c>
      <c r="F117" s="213">
        <v>0.84</v>
      </c>
      <c r="G117" s="212" t="s">
        <v>2325</v>
      </c>
      <c r="H117" s="213">
        <v>0.04</v>
      </c>
      <c r="I117" s="212" t="s">
        <v>440</v>
      </c>
      <c r="J117" s="214" t="str">
        <f>HYPERLINK($C$4&amp;"Teknik_Resim\543414.pdf","543414.pdf")</f>
        <v>543414.pdf</v>
      </c>
      <c r="K117" s="212" t="s">
        <v>2326</v>
      </c>
      <c r="L117" s="215">
        <v>20</v>
      </c>
      <c r="M117" s="212">
        <f t="shared" si="3"/>
        <v>3</v>
      </c>
      <c r="N117" s="216"/>
    </row>
    <row r="118" spans="1:14" ht="15" customHeight="1" x14ac:dyDescent="0.25">
      <c r="A118" s="212">
        <v>113</v>
      </c>
      <c r="B118" s="212">
        <v>189224</v>
      </c>
      <c r="C118" s="212" t="s">
        <v>312</v>
      </c>
      <c r="D118" s="212" t="s">
        <v>117</v>
      </c>
      <c r="E118" s="212">
        <v>2</v>
      </c>
      <c r="F118" s="213">
        <v>0.8</v>
      </c>
      <c r="G118" s="212" t="s">
        <v>2325</v>
      </c>
      <c r="H118" s="213">
        <v>0.02</v>
      </c>
      <c r="I118" s="212" t="s">
        <v>440</v>
      </c>
      <c r="J118" s="214" t="str">
        <f>HYPERLINK($C$4&amp;"Teknik_Resim\189224.pdf","189224.pdf")</f>
        <v>189224.pdf</v>
      </c>
      <c r="K118" s="212" t="s">
        <v>2326</v>
      </c>
      <c r="L118" s="215">
        <v>20</v>
      </c>
      <c r="M118" s="212">
        <f t="shared" si="3"/>
        <v>1</v>
      </c>
      <c r="N118" s="216"/>
    </row>
    <row r="119" spans="1:14" ht="15" customHeight="1" x14ac:dyDescent="0.25">
      <c r="A119" s="212">
        <v>114</v>
      </c>
      <c r="B119" s="212">
        <v>207243</v>
      </c>
      <c r="C119" s="212" t="s">
        <v>189</v>
      </c>
      <c r="D119" s="212" t="s">
        <v>190</v>
      </c>
      <c r="E119" s="212">
        <v>55</v>
      </c>
      <c r="F119" s="213">
        <v>0.8</v>
      </c>
      <c r="G119" s="212" t="s">
        <v>2325</v>
      </c>
      <c r="H119" s="213">
        <v>0.04</v>
      </c>
      <c r="I119" s="212" t="s">
        <v>440</v>
      </c>
      <c r="J119" s="214" t="str">
        <f>HYPERLINK($C$4&amp;"Teknik_Resim\207243.pdf","207243.pdf")</f>
        <v>207243.pdf</v>
      </c>
      <c r="K119" s="212" t="s">
        <v>2326</v>
      </c>
      <c r="L119" s="215">
        <v>20</v>
      </c>
      <c r="M119" s="212">
        <f t="shared" si="3"/>
        <v>3</v>
      </c>
      <c r="N119" s="216"/>
    </row>
    <row r="120" spans="1:14" ht="15" customHeight="1" x14ac:dyDescent="0.25">
      <c r="A120" s="212">
        <v>115</v>
      </c>
      <c r="B120" s="212">
        <v>543418</v>
      </c>
      <c r="C120" s="212" t="s">
        <v>198</v>
      </c>
      <c r="D120" s="212" t="s">
        <v>139</v>
      </c>
      <c r="E120" s="212">
        <v>9</v>
      </c>
      <c r="F120" s="213">
        <v>0.75</v>
      </c>
      <c r="G120" s="212" t="s">
        <v>2325</v>
      </c>
      <c r="H120" s="213">
        <v>0.03</v>
      </c>
      <c r="I120" s="212" t="s">
        <v>440</v>
      </c>
      <c r="J120" s="214" t="str">
        <f>HYPERLINK($C$4&amp;"Teknik_Resim\543418.pdf","543418.pdf")</f>
        <v>543418.pdf</v>
      </c>
      <c r="K120" s="212" t="s">
        <v>2326</v>
      </c>
      <c r="L120" s="215">
        <v>20</v>
      </c>
      <c r="M120" s="212">
        <f t="shared" si="3"/>
        <v>1</v>
      </c>
      <c r="N120" s="216"/>
    </row>
    <row r="121" spans="1:14" ht="15" customHeight="1" x14ac:dyDescent="0.25">
      <c r="A121" s="212">
        <v>116</v>
      </c>
      <c r="B121" s="212">
        <v>233507</v>
      </c>
      <c r="C121" s="212" t="s">
        <v>150</v>
      </c>
      <c r="D121" s="212" t="s">
        <v>151</v>
      </c>
      <c r="E121" s="212">
        <v>121</v>
      </c>
      <c r="F121" s="213">
        <v>0.73</v>
      </c>
      <c r="G121" s="212" t="s">
        <v>2325</v>
      </c>
      <c r="H121" s="213">
        <v>0.02</v>
      </c>
      <c r="I121" s="212" t="s">
        <v>440</v>
      </c>
      <c r="J121" s="214" t="str">
        <f>HYPERLINK($C$4&amp;"Teknik_Resim\233507.pdf","233507.pdf")</f>
        <v>233507.pdf</v>
      </c>
      <c r="K121" s="212" t="s">
        <v>2326</v>
      </c>
      <c r="L121" s="215">
        <v>20</v>
      </c>
      <c r="M121" s="212">
        <f t="shared" si="3"/>
        <v>7</v>
      </c>
      <c r="N121" s="216"/>
    </row>
    <row r="122" spans="1:14" ht="15" customHeight="1" x14ac:dyDescent="0.25">
      <c r="A122" s="212">
        <v>117</v>
      </c>
      <c r="B122" s="212">
        <v>122681</v>
      </c>
      <c r="C122" s="212" t="s">
        <v>152</v>
      </c>
      <c r="D122" s="212" t="s">
        <v>153</v>
      </c>
      <c r="E122" s="212">
        <v>121</v>
      </c>
      <c r="F122" s="213">
        <v>0.72</v>
      </c>
      <c r="G122" s="212" t="s">
        <v>2325</v>
      </c>
      <c r="H122" s="213">
        <v>0.02</v>
      </c>
      <c r="I122" s="212" t="s">
        <v>440</v>
      </c>
      <c r="J122" s="214" t="str">
        <f>HYPERLINK($C$4&amp;"Teknik_Resim\122681.pdf","122681.pdf")</f>
        <v>122681.pdf</v>
      </c>
      <c r="K122" s="212" t="s">
        <v>2326</v>
      </c>
      <c r="L122" s="215">
        <v>20</v>
      </c>
      <c r="M122" s="212">
        <f t="shared" si="3"/>
        <v>7</v>
      </c>
      <c r="N122" s="216"/>
    </row>
    <row r="123" spans="1:14" ht="15" customHeight="1" x14ac:dyDescent="0.25">
      <c r="A123" s="212">
        <v>118</v>
      </c>
      <c r="B123" s="212">
        <v>553127</v>
      </c>
      <c r="C123" s="212" t="s">
        <v>198</v>
      </c>
      <c r="D123" s="212" t="s">
        <v>139</v>
      </c>
      <c r="E123" s="212">
        <v>47</v>
      </c>
      <c r="F123" s="213">
        <v>0.69</v>
      </c>
      <c r="G123" s="212" t="s">
        <v>2325</v>
      </c>
      <c r="H123" s="213">
        <v>0.03</v>
      </c>
      <c r="I123" s="212" t="s">
        <v>440</v>
      </c>
      <c r="J123" s="214" t="str">
        <f>HYPERLINK($C$4&amp;"Teknik_Resim\553127.pdf","553127.pdf")</f>
        <v>553127.pdf</v>
      </c>
      <c r="K123" s="212" t="s">
        <v>2326</v>
      </c>
      <c r="L123" s="215">
        <v>20</v>
      </c>
      <c r="M123" s="212">
        <f t="shared" si="3"/>
        <v>3</v>
      </c>
      <c r="N123" s="216"/>
    </row>
    <row r="124" spans="1:14" ht="15" customHeight="1" x14ac:dyDescent="0.25">
      <c r="A124" s="212">
        <v>119</v>
      </c>
      <c r="B124" s="212">
        <v>121655</v>
      </c>
      <c r="C124" s="212" t="s">
        <v>238</v>
      </c>
      <c r="D124" s="212" t="s">
        <v>148</v>
      </c>
      <c r="E124" s="212">
        <v>15</v>
      </c>
      <c r="F124" s="213">
        <v>0.69</v>
      </c>
      <c r="G124" s="212" t="s">
        <v>2325</v>
      </c>
      <c r="H124" s="213">
        <v>0.04</v>
      </c>
      <c r="I124" s="212" t="s">
        <v>440</v>
      </c>
      <c r="J124" s="214" t="str">
        <f>HYPERLINK($C$4&amp;"Teknik_Resim\121655.pdf","121655.pdf")</f>
        <v>121655.pdf</v>
      </c>
      <c r="K124" s="212" t="s">
        <v>2326</v>
      </c>
      <c r="L124" s="215">
        <v>20</v>
      </c>
      <c r="M124" s="212">
        <f t="shared" si="3"/>
        <v>1</v>
      </c>
      <c r="N124" s="216"/>
    </row>
    <row r="125" spans="1:14" ht="15" customHeight="1" x14ac:dyDescent="0.25">
      <c r="A125" s="212">
        <v>120</v>
      </c>
      <c r="B125" s="212">
        <v>394275</v>
      </c>
      <c r="C125" s="212" t="s">
        <v>157</v>
      </c>
      <c r="D125" s="212" t="s">
        <v>148</v>
      </c>
      <c r="E125" s="212">
        <v>112</v>
      </c>
      <c r="F125" s="213">
        <v>0.36</v>
      </c>
      <c r="G125" s="212" t="s">
        <v>2325</v>
      </c>
      <c r="H125" s="213">
        <v>0.05</v>
      </c>
      <c r="I125" s="212" t="s">
        <v>440</v>
      </c>
      <c r="J125" s="214" t="str">
        <f>HYPERLINK($C$4&amp;"Teknik_Resim\H410.00.00.394275.pdf","H410.00.00.394275.pdf")</f>
        <v>H410.00.00.394275.pdf</v>
      </c>
      <c r="K125" s="212" t="s">
        <v>2326</v>
      </c>
      <c r="L125" s="215">
        <v>20</v>
      </c>
      <c r="M125" s="212">
        <f t="shared" si="3"/>
        <v>6</v>
      </c>
      <c r="N125" s="216"/>
    </row>
    <row r="126" spans="1:14" ht="15" customHeight="1" x14ac:dyDescent="0.25">
      <c r="C126" s="148" t="s">
        <v>2341</v>
      </c>
      <c r="E126" s="148">
        <f>SUM(E6:E125)</f>
        <v>4345</v>
      </c>
      <c r="M126" s="148">
        <f>SUM(M6:M125)</f>
        <v>827</v>
      </c>
    </row>
    <row r="128" spans="1:14" ht="15" customHeight="1" x14ac:dyDescent="0.25">
      <c r="A128" s="148" t="s">
        <v>2342</v>
      </c>
    </row>
    <row r="129" spans="1:1" ht="15" customHeight="1" x14ac:dyDescent="0.25">
      <c r="A129" s="105" t="s">
        <v>2343</v>
      </c>
    </row>
    <row r="130" spans="1:1" ht="15" customHeight="1" x14ac:dyDescent="0.25">
      <c r="A130" s="105" t="s">
        <v>2344</v>
      </c>
    </row>
    <row r="131" spans="1:1" ht="15" customHeight="1" x14ac:dyDescent="0.25">
      <c r="A131" s="105" t="s">
        <v>2345</v>
      </c>
    </row>
  </sheetData>
  <dataValidations count="1">
    <dataValidation type="whole" operator="greaterThan" showErrorMessage="1" error="Pozitif tam sayı giriniz" sqref="L6:L125" xr:uid="{00000000-0002-0000-0E00-000000000000}">
      <formula1>0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U21"/>
  <sheetViews>
    <sheetView zoomScaleNormal="100" workbookViewId="0">
      <pane xSplit="2" ySplit="5" topLeftCell="I6" activePane="bottomRight" state="frozen"/>
      <selection pane="topRight" activeCell="I1" sqref="I1"/>
      <selection pane="bottomLeft" activeCell="A6" sqref="A6"/>
      <selection pane="bottomRight" activeCell="S5" sqref="S5"/>
    </sheetView>
  </sheetViews>
  <sheetFormatPr defaultColWidth="9.140625" defaultRowHeight="15" x14ac:dyDescent="0.25"/>
  <cols>
    <col min="1" max="1" width="11" customWidth="1"/>
    <col min="2" max="2" width="32" customWidth="1"/>
    <col min="3" max="3" width="7" customWidth="1"/>
    <col min="4" max="4" width="11" customWidth="1"/>
    <col min="5" max="5" width="12" customWidth="1"/>
    <col min="6" max="7" width="13" customWidth="1"/>
    <col min="8" max="8" width="16" customWidth="1"/>
    <col min="9" max="9" width="10" customWidth="1"/>
    <col min="10" max="10" width="14" customWidth="1"/>
    <col min="11" max="11" width="13" customWidth="1"/>
    <col min="12" max="13" width="20" customWidth="1"/>
    <col min="14" max="14" width="14" customWidth="1"/>
    <col min="15" max="16" width="13" customWidth="1"/>
    <col min="17" max="17" width="10" customWidth="1"/>
    <col min="18" max="19" width="12" customWidth="1"/>
  </cols>
  <sheetData>
    <row r="1" spans="1:21" ht="17.25" customHeight="1" x14ac:dyDescent="0.3">
      <c r="A1" s="217" t="s">
        <v>2346</v>
      </c>
    </row>
    <row r="2" spans="1:21" ht="15" customHeight="1" x14ac:dyDescent="0.25">
      <c r="A2" s="218" t="s">
        <v>2347</v>
      </c>
    </row>
    <row r="4" spans="1:21" ht="15" customHeight="1" x14ac:dyDescent="0.25">
      <c r="A4" s="4" t="s">
        <v>2295</v>
      </c>
      <c r="B4" s="4" t="s">
        <v>2296</v>
      </c>
      <c r="C4" s="4" t="s">
        <v>435</v>
      </c>
      <c r="D4" s="4" t="s">
        <v>2298</v>
      </c>
      <c r="E4" s="4" t="s">
        <v>2348</v>
      </c>
      <c r="F4" s="4" t="s">
        <v>2300</v>
      </c>
      <c r="G4" s="3" t="s">
        <v>2349</v>
      </c>
      <c r="H4" s="3"/>
      <c r="I4" s="3"/>
      <c r="J4" s="3"/>
      <c r="K4" s="2" t="s">
        <v>2350</v>
      </c>
      <c r="L4" s="2"/>
      <c r="M4" s="2"/>
      <c r="N4" s="2"/>
      <c r="O4" s="1" t="s">
        <v>2351</v>
      </c>
      <c r="P4" s="1"/>
      <c r="Q4" s="1"/>
      <c r="R4" s="1"/>
      <c r="S4" s="222"/>
    </row>
    <row r="5" spans="1:21" ht="45" customHeight="1" x14ac:dyDescent="0.25">
      <c r="A5" s="4"/>
      <c r="B5" s="4"/>
      <c r="C5" s="4"/>
      <c r="D5" s="4"/>
      <c r="E5" s="4"/>
      <c r="F5" s="4"/>
      <c r="G5" s="219" t="s">
        <v>2352</v>
      </c>
      <c r="H5" s="219" t="s">
        <v>2353</v>
      </c>
      <c r="I5" s="219" t="s">
        <v>2354</v>
      </c>
      <c r="J5" s="219" t="s">
        <v>2355</v>
      </c>
      <c r="K5" s="220" t="s">
        <v>2352</v>
      </c>
      <c r="L5" s="220" t="s">
        <v>2353</v>
      </c>
      <c r="M5" s="220" t="s">
        <v>2354</v>
      </c>
      <c r="N5" s="220" t="s">
        <v>2355</v>
      </c>
      <c r="O5" s="221" t="s">
        <v>2352</v>
      </c>
      <c r="P5" s="221" t="s">
        <v>2353</v>
      </c>
      <c r="Q5" s="221" t="s">
        <v>2354</v>
      </c>
      <c r="R5" s="221" t="s">
        <v>2355</v>
      </c>
      <c r="S5" s="222" t="s">
        <v>2356</v>
      </c>
      <c r="T5" t="s">
        <v>2357</v>
      </c>
      <c r="U5" t="s">
        <v>2357</v>
      </c>
    </row>
    <row r="6" spans="1:21" ht="24" customHeight="1" x14ac:dyDescent="0.25">
      <c r="A6" s="223" t="s">
        <v>97</v>
      </c>
      <c r="B6" s="224" t="s">
        <v>98</v>
      </c>
      <c r="C6" s="224">
        <v>56</v>
      </c>
      <c r="D6" s="225">
        <v>57.45</v>
      </c>
      <c r="E6" s="225">
        <v>3217.2</v>
      </c>
      <c r="F6" s="226">
        <v>3.2</v>
      </c>
      <c r="G6" s="227">
        <v>45.96</v>
      </c>
      <c r="H6" s="228" t="s">
        <v>2358</v>
      </c>
      <c r="I6" s="228" t="s">
        <v>124</v>
      </c>
      <c r="J6" s="227">
        <f t="shared" ref="J6:J20" si="0">C6*G6</f>
        <v>2573.7600000000002</v>
      </c>
      <c r="K6" s="227">
        <v>40.22</v>
      </c>
      <c r="L6" s="228" t="s">
        <v>2359</v>
      </c>
      <c r="M6" s="228" t="s">
        <v>2359</v>
      </c>
      <c r="N6" s="227">
        <f t="shared" ref="N6:N20" si="1">C6*K6</f>
        <v>2252.3199999999997</v>
      </c>
      <c r="O6" s="228" t="s">
        <v>2360</v>
      </c>
      <c r="P6" s="228" t="s">
        <v>2360</v>
      </c>
      <c r="Q6" s="224"/>
      <c r="R6" s="224"/>
      <c r="S6" s="229">
        <f t="shared" ref="S6:S20" si="2">+D6</f>
        <v>57.45</v>
      </c>
      <c r="T6" s="230">
        <f t="shared" ref="T6:T20" si="3">+G6/$D$6</f>
        <v>0.79999999999999993</v>
      </c>
      <c r="U6" s="230">
        <f t="shared" ref="U6:U20" si="4">+K6/$D$6</f>
        <v>0.70008703220191471</v>
      </c>
    </row>
    <row r="7" spans="1:21" ht="24" customHeight="1" x14ac:dyDescent="0.25">
      <c r="A7" s="223" t="s">
        <v>179</v>
      </c>
      <c r="B7" s="224" t="s">
        <v>180</v>
      </c>
      <c r="C7" s="224">
        <v>10</v>
      </c>
      <c r="D7" s="225">
        <v>57.2</v>
      </c>
      <c r="E7" s="225">
        <v>572</v>
      </c>
      <c r="F7" s="226">
        <v>2.94</v>
      </c>
      <c r="G7" s="227">
        <v>45.76</v>
      </c>
      <c r="H7" s="228" t="s">
        <v>2358</v>
      </c>
      <c r="I7" s="228" t="s">
        <v>124</v>
      </c>
      <c r="J7" s="227">
        <f t="shared" si="0"/>
        <v>457.59999999999997</v>
      </c>
      <c r="K7" s="227">
        <v>40.049999999999997</v>
      </c>
      <c r="L7" s="228" t="s">
        <v>2359</v>
      </c>
      <c r="M7" s="228" t="s">
        <v>2359</v>
      </c>
      <c r="N7" s="227">
        <f t="shared" si="1"/>
        <v>400.5</v>
      </c>
      <c r="O7" s="228" t="s">
        <v>2360</v>
      </c>
      <c r="P7" s="228" t="s">
        <v>2360</v>
      </c>
      <c r="Q7" s="224"/>
      <c r="R7" s="224"/>
      <c r="S7" s="229">
        <f t="shared" si="2"/>
        <v>57.2</v>
      </c>
      <c r="T7" s="230">
        <f t="shared" si="3"/>
        <v>0.79651871192341162</v>
      </c>
      <c r="U7" s="230">
        <f t="shared" si="4"/>
        <v>0.69712793733681455</v>
      </c>
    </row>
    <row r="8" spans="1:21" ht="24" customHeight="1" x14ac:dyDescent="0.25">
      <c r="A8" s="223" t="s">
        <v>510</v>
      </c>
      <c r="B8" s="224" t="s">
        <v>203</v>
      </c>
      <c r="C8" s="224">
        <v>5</v>
      </c>
      <c r="D8" s="225">
        <v>46.72</v>
      </c>
      <c r="E8" s="225">
        <v>233.6</v>
      </c>
      <c r="F8" s="226">
        <v>2.34</v>
      </c>
      <c r="G8" s="227">
        <v>37.380000000000003</v>
      </c>
      <c r="H8" s="228" t="s">
        <v>2358</v>
      </c>
      <c r="I8" s="228" t="s">
        <v>124</v>
      </c>
      <c r="J8" s="227">
        <f t="shared" si="0"/>
        <v>186.9</v>
      </c>
      <c r="K8" s="227">
        <v>32.71</v>
      </c>
      <c r="L8" s="228" t="s">
        <v>2359</v>
      </c>
      <c r="M8" s="228" t="s">
        <v>2359</v>
      </c>
      <c r="N8" s="227">
        <f t="shared" si="1"/>
        <v>163.55000000000001</v>
      </c>
      <c r="O8" s="228" t="s">
        <v>2360</v>
      </c>
      <c r="P8" s="228" t="s">
        <v>2360</v>
      </c>
      <c r="Q8" s="224"/>
      <c r="R8" s="224"/>
      <c r="S8" s="229">
        <f t="shared" si="2"/>
        <v>46.72</v>
      </c>
      <c r="T8" s="230">
        <f t="shared" si="3"/>
        <v>0.65065274151436037</v>
      </c>
      <c r="U8" s="230">
        <f t="shared" si="4"/>
        <v>0.56936466492602267</v>
      </c>
    </row>
    <row r="9" spans="1:21" ht="24" customHeight="1" x14ac:dyDescent="0.25">
      <c r="A9" s="223" t="s">
        <v>453</v>
      </c>
      <c r="B9" s="224" t="s">
        <v>115</v>
      </c>
      <c r="C9" s="224">
        <v>106</v>
      </c>
      <c r="D9" s="225">
        <v>18.63</v>
      </c>
      <c r="E9" s="225">
        <v>1974.8</v>
      </c>
      <c r="F9" s="226">
        <v>1.44</v>
      </c>
      <c r="G9" s="227">
        <v>14.9</v>
      </c>
      <c r="H9" s="228" t="s">
        <v>2358</v>
      </c>
      <c r="I9" s="228" t="s">
        <v>124</v>
      </c>
      <c r="J9" s="227">
        <f t="shared" si="0"/>
        <v>1579.4</v>
      </c>
      <c r="K9" s="227">
        <v>15.78</v>
      </c>
      <c r="L9" s="228" t="s">
        <v>2359</v>
      </c>
      <c r="M9" s="228" t="s">
        <v>2359</v>
      </c>
      <c r="N9" s="227">
        <f t="shared" si="1"/>
        <v>1672.6799999999998</v>
      </c>
      <c r="O9" s="228" t="s">
        <v>2360</v>
      </c>
      <c r="P9" s="228" t="s">
        <v>2360</v>
      </c>
      <c r="Q9" s="224"/>
      <c r="R9" s="224"/>
      <c r="S9" s="229">
        <f t="shared" si="2"/>
        <v>18.63</v>
      </c>
      <c r="T9" s="230">
        <f t="shared" si="3"/>
        <v>0.25935596170583114</v>
      </c>
      <c r="U9" s="230">
        <f t="shared" si="4"/>
        <v>0.27467362924281979</v>
      </c>
    </row>
    <row r="10" spans="1:21" ht="24" customHeight="1" x14ac:dyDescent="0.25">
      <c r="A10" s="223" t="s">
        <v>445</v>
      </c>
      <c r="B10" s="224" t="s">
        <v>104</v>
      </c>
      <c r="C10" s="224">
        <v>124</v>
      </c>
      <c r="D10" s="225">
        <v>17.850000000000001</v>
      </c>
      <c r="E10" s="225">
        <v>2213.4</v>
      </c>
      <c r="F10" s="226">
        <v>1.39</v>
      </c>
      <c r="G10" s="227">
        <v>14.29</v>
      </c>
      <c r="H10" s="228" t="s">
        <v>2358</v>
      </c>
      <c r="I10" s="228" t="s">
        <v>124</v>
      </c>
      <c r="J10" s="227">
        <f t="shared" si="0"/>
        <v>1771.9599999999998</v>
      </c>
      <c r="K10" s="227">
        <v>15.08</v>
      </c>
      <c r="L10" s="228" t="s">
        <v>2359</v>
      </c>
      <c r="M10" s="228" t="s">
        <v>2359</v>
      </c>
      <c r="N10" s="227">
        <f t="shared" si="1"/>
        <v>1869.92</v>
      </c>
      <c r="O10" s="228" t="s">
        <v>2360</v>
      </c>
      <c r="P10" s="228" t="s">
        <v>2360</v>
      </c>
      <c r="Q10" s="224"/>
      <c r="R10" s="224"/>
      <c r="S10" s="229">
        <f t="shared" si="2"/>
        <v>17.850000000000001</v>
      </c>
      <c r="T10" s="230">
        <f t="shared" si="3"/>
        <v>0.24873803307223671</v>
      </c>
      <c r="U10" s="230">
        <f t="shared" si="4"/>
        <v>0.26248912097476063</v>
      </c>
    </row>
    <row r="11" spans="1:21" ht="24" customHeight="1" x14ac:dyDescent="0.25">
      <c r="A11" s="223" t="s">
        <v>450</v>
      </c>
      <c r="B11" s="224" t="s">
        <v>111</v>
      </c>
      <c r="C11" s="224">
        <v>106</v>
      </c>
      <c r="D11" s="225">
        <v>12.2</v>
      </c>
      <c r="E11" s="225">
        <v>1293.2</v>
      </c>
      <c r="F11" s="226">
        <v>0.62</v>
      </c>
      <c r="G11" s="227">
        <v>9.76</v>
      </c>
      <c r="H11" s="228" t="s">
        <v>2358</v>
      </c>
      <c r="I11" s="228" t="s">
        <v>124</v>
      </c>
      <c r="J11" s="227">
        <f t="shared" si="0"/>
        <v>1034.56</v>
      </c>
      <c r="K11" s="227">
        <v>10.3</v>
      </c>
      <c r="L11" s="228" t="s">
        <v>2359</v>
      </c>
      <c r="M11" s="228" t="s">
        <v>2359</v>
      </c>
      <c r="N11" s="227">
        <f t="shared" si="1"/>
        <v>1091.8000000000002</v>
      </c>
      <c r="O11" s="228" t="s">
        <v>2360</v>
      </c>
      <c r="P11" s="228" t="s">
        <v>2360</v>
      </c>
      <c r="Q11" s="224"/>
      <c r="R11" s="224"/>
      <c r="S11" s="229">
        <f t="shared" si="2"/>
        <v>12.2</v>
      </c>
      <c r="T11" s="230">
        <f t="shared" si="3"/>
        <v>0.16988685813751087</v>
      </c>
      <c r="U11" s="230">
        <f t="shared" si="4"/>
        <v>0.17928633594429941</v>
      </c>
    </row>
    <row r="12" spans="1:21" ht="24" customHeight="1" x14ac:dyDescent="0.25">
      <c r="A12" s="223" t="s">
        <v>448</v>
      </c>
      <c r="B12" s="224" t="s">
        <v>108</v>
      </c>
      <c r="C12" s="224">
        <v>122</v>
      </c>
      <c r="D12" s="225">
        <v>11.16</v>
      </c>
      <c r="E12" s="225">
        <v>1361.5</v>
      </c>
      <c r="F12" s="226">
        <v>0.56999999999999995</v>
      </c>
      <c r="G12" s="227">
        <v>8.93</v>
      </c>
      <c r="H12" s="228" t="s">
        <v>2358</v>
      </c>
      <c r="I12" s="228" t="s">
        <v>124</v>
      </c>
      <c r="J12" s="227">
        <f t="shared" si="0"/>
        <v>1089.46</v>
      </c>
      <c r="K12" s="227">
        <v>9.44</v>
      </c>
      <c r="L12" s="228" t="s">
        <v>2359</v>
      </c>
      <c r="M12" s="228" t="s">
        <v>2359</v>
      </c>
      <c r="N12" s="227">
        <f t="shared" si="1"/>
        <v>1151.6799999999998</v>
      </c>
      <c r="O12" s="228" t="s">
        <v>2360</v>
      </c>
      <c r="P12" s="228" t="s">
        <v>2360</v>
      </c>
      <c r="Q12" s="224"/>
      <c r="R12" s="224"/>
      <c r="S12" s="229">
        <f t="shared" si="2"/>
        <v>11.16</v>
      </c>
      <c r="T12" s="230">
        <f t="shared" si="3"/>
        <v>0.15543951261966926</v>
      </c>
      <c r="U12" s="230">
        <f t="shared" si="4"/>
        <v>0.16431679721496953</v>
      </c>
    </row>
    <row r="13" spans="1:21" ht="24" customHeight="1" x14ac:dyDescent="0.25">
      <c r="A13" s="223" t="s">
        <v>633</v>
      </c>
      <c r="B13" s="224" t="s">
        <v>368</v>
      </c>
      <c r="C13" s="224">
        <v>1</v>
      </c>
      <c r="D13" s="225">
        <v>19.82</v>
      </c>
      <c r="E13" s="225">
        <v>19.8</v>
      </c>
      <c r="F13" s="226">
        <v>0.92</v>
      </c>
      <c r="G13" s="227">
        <v>15.86</v>
      </c>
      <c r="H13" s="228" t="s">
        <v>2358</v>
      </c>
      <c r="I13" s="228" t="s">
        <v>124</v>
      </c>
      <c r="J13" s="227">
        <f t="shared" si="0"/>
        <v>15.86</v>
      </c>
      <c r="K13" s="227">
        <v>16.77</v>
      </c>
      <c r="L13" s="228" t="s">
        <v>2359</v>
      </c>
      <c r="M13" s="228" t="s">
        <v>2359</v>
      </c>
      <c r="N13" s="227">
        <f t="shared" si="1"/>
        <v>16.77</v>
      </c>
      <c r="O13" s="228" t="s">
        <v>2360</v>
      </c>
      <c r="P13" s="228" t="s">
        <v>2360</v>
      </c>
      <c r="Q13" s="224"/>
      <c r="R13" s="224"/>
      <c r="S13" s="229">
        <f t="shared" si="2"/>
        <v>19.82</v>
      </c>
      <c r="T13" s="230">
        <f t="shared" si="3"/>
        <v>0.27606614447345518</v>
      </c>
      <c r="U13" s="230">
        <f t="shared" si="4"/>
        <v>0.29190600522193211</v>
      </c>
    </row>
    <row r="14" spans="1:21" ht="24" customHeight="1" x14ac:dyDescent="0.25">
      <c r="A14" s="223" t="s">
        <v>488</v>
      </c>
      <c r="B14" s="224" t="s">
        <v>171</v>
      </c>
      <c r="C14" s="224">
        <v>37</v>
      </c>
      <c r="D14" s="225">
        <v>8.17</v>
      </c>
      <c r="E14" s="225">
        <v>302.3</v>
      </c>
      <c r="F14" s="226">
        <v>0.36</v>
      </c>
      <c r="G14" s="227">
        <v>6.54</v>
      </c>
      <c r="H14" s="228" t="s">
        <v>2358</v>
      </c>
      <c r="I14" s="228" t="s">
        <v>124</v>
      </c>
      <c r="J14" s="227">
        <f t="shared" si="0"/>
        <v>241.98</v>
      </c>
      <c r="K14" s="227">
        <v>5.3</v>
      </c>
      <c r="L14" s="228" t="s">
        <v>2359</v>
      </c>
      <c r="M14" s="228" t="s">
        <v>2359</v>
      </c>
      <c r="N14" s="227">
        <f t="shared" si="1"/>
        <v>196.1</v>
      </c>
      <c r="O14" s="228" t="s">
        <v>2360</v>
      </c>
      <c r="P14" s="228" t="s">
        <v>2360</v>
      </c>
      <c r="Q14" s="224"/>
      <c r="R14" s="224"/>
      <c r="S14" s="229">
        <f t="shared" si="2"/>
        <v>8.17</v>
      </c>
      <c r="T14" s="230">
        <f t="shared" si="3"/>
        <v>0.11383812010443864</v>
      </c>
      <c r="U14" s="230">
        <f t="shared" si="4"/>
        <v>9.2254134029590942E-2</v>
      </c>
    </row>
    <row r="15" spans="1:21" ht="24" customHeight="1" x14ac:dyDescent="0.25">
      <c r="A15" s="223" t="s">
        <v>487</v>
      </c>
      <c r="B15" s="224" t="s">
        <v>169</v>
      </c>
      <c r="C15" s="224">
        <v>37</v>
      </c>
      <c r="D15" s="225">
        <v>8.17</v>
      </c>
      <c r="E15" s="225">
        <v>302.3</v>
      </c>
      <c r="F15" s="226">
        <v>0.36</v>
      </c>
      <c r="G15" s="227">
        <v>6.54</v>
      </c>
      <c r="H15" s="228" t="s">
        <v>2358</v>
      </c>
      <c r="I15" s="228" t="s">
        <v>124</v>
      </c>
      <c r="J15" s="227">
        <f t="shared" si="0"/>
        <v>241.98</v>
      </c>
      <c r="K15" s="227">
        <v>5.3</v>
      </c>
      <c r="L15" s="228" t="s">
        <v>2359</v>
      </c>
      <c r="M15" s="228" t="s">
        <v>2359</v>
      </c>
      <c r="N15" s="227">
        <f t="shared" si="1"/>
        <v>196.1</v>
      </c>
      <c r="O15" s="228" t="s">
        <v>2360</v>
      </c>
      <c r="P15" s="228" t="s">
        <v>2360</v>
      </c>
      <c r="Q15" s="224"/>
      <c r="R15" s="224"/>
      <c r="S15" s="229">
        <f t="shared" si="2"/>
        <v>8.17</v>
      </c>
      <c r="T15" s="230">
        <f t="shared" si="3"/>
        <v>0.11383812010443864</v>
      </c>
      <c r="U15" s="230">
        <f t="shared" si="4"/>
        <v>9.2254134029590942E-2</v>
      </c>
    </row>
    <row r="16" spans="1:21" ht="24" customHeight="1" x14ac:dyDescent="0.25">
      <c r="A16" s="223" t="s">
        <v>462</v>
      </c>
      <c r="B16" s="224" t="s">
        <v>133</v>
      </c>
      <c r="C16" s="224">
        <v>98</v>
      </c>
      <c r="D16" s="225">
        <v>8.65</v>
      </c>
      <c r="E16" s="225">
        <v>847.7</v>
      </c>
      <c r="F16" s="226">
        <v>0.48</v>
      </c>
      <c r="G16" s="227">
        <v>6.92</v>
      </c>
      <c r="H16" s="228" t="s">
        <v>2358</v>
      </c>
      <c r="I16" s="228" t="s">
        <v>124</v>
      </c>
      <c r="J16" s="227">
        <f t="shared" si="0"/>
        <v>678.16</v>
      </c>
      <c r="K16" s="227">
        <v>5.62</v>
      </c>
      <c r="L16" s="228" t="s">
        <v>2359</v>
      </c>
      <c r="M16" s="228" t="s">
        <v>2359</v>
      </c>
      <c r="N16" s="227">
        <f t="shared" si="1"/>
        <v>550.76</v>
      </c>
      <c r="O16" s="228" t="s">
        <v>2360</v>
      </c>
      <c r="P16" s="228" t="s">
        <v>2360</v>
      </c>
      <c r="Q16" s="224"/>
      <c r="R16" s="224"/>
      <c r="S16" s="229">
        <f t="shared" si="2"/>
        <v>8.65</v>
      </c>
      <c r="T16" s="230">
        <f t="shared" si="3"/>
        <v>0.12045256744995647</v>
      </c>
      <c r="U16" s="230">
        <f t="shared" si="4"/>
        <v>9.7824194952132293E-2</v>
      </c>
    </row>
    <row r="17" spans="1:21" ht="24" customHeight="1" x14ac:dyDescent="0.25">
      <c r="A17" s="223" t="s">
        <v>594</v>
      </c>
      <c r="B17" s="224" t="s">
        <v>319</v>
      </c>
      <c r="C17" s="224">
        <v>12</v>
      </c>
      <c r="D17" s="225">
        <v>8.65</v>
      </c>
      <c r="E17" s="225">
        <v>103.8</v>
      </c>
      <c r="F17" s="226">
        <v>0.48</v>
      </c>
      <c r="G17" s="227">
        <v>6.92</v>
      </c>
      <c r="H17" s="228" t="s">
        <v>2358</v>
      </c>
      <c r="I17" s="228" t="s">
        <v>124</v>
      </c>
      <c r="J17" s="227">
        <f t="shared" si="0"/>
        <v>83.039999999999992</v>
      </c>
      <c r="K17" s="227">
        <v>5.62</v>
      </c>
      <c r="L17" s="228" t="s">
        <v>2359</v>
      </c>
      <c r="M17" s="228" t="s">
        <v>2359</v>
      </c>
      <c r="N17" s="227">
        <f t="shared" si="1"/>
        <v>67.44</v>
      </c>
      <c r="O17" s="228" t="s">
        <v>2360</v>
      </c>
      <c r="P17" s="228" t="s">
        <v>2360</v>
      </c>
      <c r="Q17" s="224"/>
      <c r="R17" s="224"/>
      <c r="S17" s="229">
        <f t="shared" si="2"/>
        <v>8.65</v>
      </c>
      <c r="T17" s="230">
        <f t="shared" si="3"/>
        <v>0.12045256744995647</v>
      </c>
      <c r="U17" s="230">
        <f t="shared" si="4"/>
        <v>9.7824194952132293E-2</v>
      </c>
    </row>
    <row r="18" spans="1:21" ht="24" customHeight="1" x14ac:dyDescent="0.25">
      <c r="A18" s="223" t="s">
        <v>443</v>
      </c>
      <c r="B18" s="224" t="s">
        <v>2361</v>
      </c>
      <c r="C18" s="224">
        <v>652</v>
      </c>
      <c r="D18" s="225">
        <v>4.0599999999999996</v>
      </c>
      <c r="E18" s="225">
        <v>2647.1</v>
      </c>
      <c r="F18" s="226">
        <v>0.23</v>
      </c>
      <c r="G18" s="227">
        <v>3.25</v>
      </c>
      <c r="H18" s="228" t="s">
        <v>2358</v>
      </c>
      <c r="I18" s="228" t="s">
        <v>124</v>
      </c>
      <c r="J18" s="227">
        <f t="shared" si="0"/>
        <v>2119</v>
      </c>
      <c r="K18" s="227">
        <v>4.1399999999999997</v>
      </c>
      <c r="L18" s="228" t="s">
        <v>2359</v>
      </c>
      <c r="M18" s="228" t="s">
        <v>2359</v>
      </c>
      <c r="N18" s="227">
        <f t="shared" si="1"/>
        <v>2699.2799999999997</v>
      </c>
      <c r="O18" s="228" t="s">
        <v>2360</v>
      </c>
      <c r="P18" s="228" t="s">
        <v>2360</v>
      </c>
      <c r="Q18" s="224"/>
      <c r="R18" s="224"/>
      <c r="S18" s="229">
        <f t="shared" si="2"/>
        <v>4.0599999999999996</v>
      </c>
      <c r="T18" s="230">
        <f t="shared" si="3"/>
        <v>5.6570931244560488E-2</v>
      </c>
      <c r="U18" s="230">
        <f t="shared" si="4"/>
        <v>7.2062663185378587E-2</v>
      </c>
    </row>
    <row r="19" spans="1:21" ht="24" customHeight="1" x14ac:dyDescent="0.25">
      <c r="A19" s="223" t="s">
        <v>491</v>
      </c>
      <c r="B19" s="224" t="s">
        <v>2362</v>
      </c>
      <c r="C19" s="224">
        <v>119</v>
      </c>
      <c r="D19" s="225">
        <v>0.36</v>
      </c>
      <c r="E19" s="225">
        <v>42.8</v>
      </c>
      <c r="F19" s="226">
        <v>0.02</v>
      </c>
      <c r="G19" s="227">
        <v>0.28999999999999998</v>
      </c>
      <c r="H19" s="228" t="s">
        <v>2358</v>
      </c>
      <c r="I19" s="228" t="s">
        <v>124</v>
      </c>
      <c r="J19" s="227">
        <f t="shared" si="0"/>
        <v>34.51</v>
      </c>
      <c r="K19" s="227">
        <v>0.61</v>
      </c>
      <c r="L19" s="228" t="s">
        <v>2359</v>
      </c>
      <c r="M19" s="228" t="s">
        <v>2359</v>
      </c>
      <c r="N19" s="227">
        <f t="shared" si="1"/>
        <v>72.59</v>
      </c>
      <c r="O19" s="228" t="s">
        <v>2360</v>
      </c>
      <c r="P19" s="228" t="s">
        <v>2360</v>
      </c>
      <c r="Q19" s="224"/>
      <c r="R19" s="224"/>
      <c r="S19" s="229">
        <f t="shared" si="2"/>
        <v>0.36</v>
      </c>
      <c r="T19" s="230">
        <f t="shared" si="3"/>
        <v>5.047867711053089E-3</v>
      </c>
      <c r="U19" s="230">
        <f t="shared" si="4"/>
        <v>1.0617928633594429E-2</v>
      </c>
    </row>
    <row r="20" spans="1:21" ht="24" customHeight="1" x14ac:dyDescent="0.25">
      <c r="A20" s="223" t="s">
        <v>601</v>
      </c>
      <c r="B20" s="224" t="s">
        <v>2363</v>
      </c>
      <c r="C20" s="224">
        <v>18</v>
      </c>
      <c r="D20" s="225">
        <v>0.16</v>
      </c>
      <c r="E20" s="225">
        <v>2.9</v>
      </c>
      <c r="F20" s="226">
        <v>0.01</v>
      </c>
      <c r="G20" s="227">
        <v>0.2</v>
      </c>
      <c r="H20" s="228" t="s">
        <v>2358</v>
      </c>
      <c r="I20" s="228" t="s">
        <v>124</v>
      </c>
      <c r="J20" s="227">
        <f t="shared" si="0"/>
        <v>3.6</v>
      </c>
      <c r="K20" s="227">
        <v>0.56000000000000005</v>
      </c>
      <c r="L20" s="228" t="s">
        <v>2359</v>
      </c>
      <c r="M20" s="228" t="s">
        <v>2359</v>
      </c>
      <c r="N20" s="227">
        <f t="shared" si="1"/>
        <v>10.080000000000002</v>
      </c>
      <c r="O20" s="228" t="s">
        <v>2360</v>
      </c>
      <c r="P20" s="228" t="s">
        <v>2360</v>
      </c>
      <c r="Q20" s="224"/>
      <c r="R20" s="224"/>
      <c r="S20" s="229">
        <f t="shared" si="2"/>
        <v>0.16</v>
      </c>
      <c r="T20" s="230">
        <f t="shared" si="3"/>
        <v>3.4812880765883376E-3</v>
      </c>
      <c r="U20" s="230">
        <f t="shared" si="4"/>
        <v>9.7476066144473461E-3</v>
      </c>
    </row>
    <row r="21" spans="1:21" ht="15" customHeight="1" x14ac:dyDescent="0.25">
      <c r="A21" s="231"/>
      <c r="B21" s="232" t="s">
        <v>43</v>
      </c>
      <c r="C21" s="233">
        <f>SUM(C6:C20)</f>
        <v>1503</v>
      </c>
      <c r="D21" s="231"/>
      <c r="E21" s="233">
        <f>SUM(E6:E20)</f>
        <v>15134.399999999998</v>
      </c>
      <c r="F21" s="234">
        <f>SUMPRODUCT(C6:C20,F6:F20)</f>
        <v>913.43999999999994</v>
      </c>
      <c r="G21" s="231"/>
      <c r="H21" s="231"/>
      <c r="I21" s="231"/>
      <c r="J21" s="235">
        <f>SUM(J6:J20)</f>
        <v>12111.77</v>
      </c>
      <c r="K21" s="231"/>
      <c r="L21" s="231"/>
      <c r="M21" s="231"/>
      <c r="N21" s="235">
        <f>SUM(N6:N20)</f>
        <v>12411.570000000002</v>
      </c>
      <c r="O21" s="231"/>
      <c r="P21" s="231"/>
      <c r="Q21" s="231"/>
      <c r="R21" s="231"/>
      <c r="S21" s="236"/>
    </row>
  </sheetData>
  <mergeCells count="9">
    <mergeCell ref="F4:F5"/>
    <mergeCell ref="G4:J4"/>
    <mergeCell ref="K4:N4"/>
    <mergeCell ref="O4:R4"/>
    <mergeCell ref="A4:A5"/>
    <mergeCell ref="B4:B5"/>
    <mergeCell ref="C4:C5"/>
    <mergeCell ref="D4:D5"/>
    <mergeCell ref="E4:E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Genel Özet</vt:lpstr>
      <vt:lpstr>Maliyet Analizi</vt:lpstr>
      <vt:lpstr>Parametreler</vt:lpstr>
      <vt:lpstr>İşçilik Özet</vt:lpstr>
      <vt:lpstr>İşçilik Parametreleri</vt:lpstr>
      <vt:lpstr>Büküm Parçaları</vt:lpstr>
      <vt:lpstr>Resim Bulguları</vt:lpstr>
      <vt:lpstr>Sac Özet</vt:lpstr>
      <vt:lpstr>Sac Parça Detay</vt:lpstr>
      <vt:lpstr>Sac Parametreleri</vt:lpstr>
      <vt:lpstr>Sac Güncellemeler 31.10</vt:lpstr>
      <vt:lpstr>Sac Yöntem</vt:lpstr>
      <vt:lpstr>Satınalma Parçaları</vt:lpstr>
      <vt:lpstr>Satınalma Kalemleri</vt:lpstr>
      <vt:lpstr>Yaş Boya Listesi</vt:lpstr>
      <vt:lpstr>Kataforez Teklifleri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Can Uzer</cp:lastModifiedBy>
  <cp:revision>0</cp:revision>
  <dcterms:created xsi:type="dcterms:W3CDTF">2026-10-20T08:41:42Z</dcterms:created>
  <dcterms:modified xsi:type="dcterms:W3CDTF">2026-11-02T05:15:35Z</dcterms:modified>
  <dc:language>en-US</dc:language>
</cp:coreProperties>
</file>